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Fu-srv1\лариса леонідівна пк\2021\Внесення змін\рішення сесій 2021 рік\26 сесія 8 скликання\Внесення змін до бюджету\"/>
    </mc:Choice>
  </mc:AlternateContent>
  <bookViews>
    <workbookView xWindow="2805" yWindow="5790" windowWidth="21600" windowHeight="8640"/>
  </bookViews>
  <sheets>
    <sheet name="Лист1" sheetId="1" r:id="rId1"/>
  </sheets>
  <definedNames>
    <definedName name="_xlnm._FilterDatabase" localSheetId="0" hidden="1">Лист1!$A$8:$AZ$286</definedName>
    <definedName name="_xlnm.Print_Area" localSheetId="0">Лист1!$A$1:$J$287</definedName>
  </definedNames>
  <calcPr calcId="162913"/>
</workbook>
</file>

<file path=xl/calcChain.xml><?xml version="1.0" encoding="utf-8"?>
<calcChain xmlns="http://schemas.openxmlformats.org/spreadsheetml/2006/main">
  <c r="G208" i="1" l="1"/>
  <c r="L139" i="1" l="1"/>
  <c r="L101" i="1"/>
  <c r="L253" i="1" l="1"/>
  <c r="L254" i="1"/>
  <c r="L54" i="1"/>
  <c r="L170" i="1"/>
  <c r="I19" i="1" l="1"/>
  <c r="I267" i="1"/>
  <c r="L11" i="1" l="1"/>
  <c r="I266" i="1"/>
  <c r="L266" i="1"/>
  <c r="M209" i="1"/>
  <c r="N32" i="1"/>
  <c r="M32" i="1"/>
  <c r="L271" i="1"/>
  <c r="L91" i="1"/>
  <c r="L86" i="1"/>
  <c r="L256" i="1"/>
  <c r="L204" i="1"/>
  <c r="L221" i="1" l="1"/>
  <c r="L198" i="1" l="1"/>
  <c r="L199" i="1"/>
  <c r="L42" i="1" l="1"/>
  <c r="L41" i="1"/>
  <c r="L162" i="1"/>
  <c r="L40" i="1"/>
  <c r="L145" i="1"/>
  <c r="L157" i="1"/>
  <c r="M102" i="1"/>
  <c r="L228" i="1"/>
  <c r="L251" i="1" l="1"/>
  <c r="M108" i="1" l="1"/>
  <c r="L79" i="1"/>
  <c r="I62" i="1"/>
  <c r="I61" i="1" s="1"/>
  <c r="I13" i="1"/>
  <c r="L129" i="1"/>
  <c r="I24" i="1"/>
  <c r="L63" i="1"/>
  <c r="L171" i="1" l="1"/>
  <c r="L105" i="1" l="1"/>
  <c r="G273" i="1" l="1"/>
  <c r="M272" i="1"/>
  <c r="M273" i="1"/>
  <c r="L265" i="1" l="1"/>
  <c r="L75" i="1" l="1"/>
  <c r="L133" i="1" l="1"/>
  <c r="L136" i="1"/>
  <c r="N79" i="1" l="1"/>
  <c r="O79" i="1" s="1"/>
  <c r="L194" i="1" l="1"/>
  <c r="L211" i="1"/>
  <c r="L59" i="1"/>
  <c r="M205" i="1"/>
  <c r="O144" i="1" l="1"/>
  <c r="P144" i="1" s="1"/>
  <c r="O143" i="1"/>
  <c r="P143" i="1" s="1"/>
  <c r="L144" i="1"/>
  <c r="L143" i="1"/>
  <c r="M174" i="1" l="1"/>
  <c r="L175" i="1"/>
  <c r="M175" i="1" s="1"/>
  <c r="L46" i="1" l="1"/>
  <c r="L52" i="1"/>
  <c r="L219" i="1"/>
  <c r="L50" i="1" l="1"/>
  <c r="L177" i="1" l="1"/>
  <c r="L203" i="1" l="1"/>
  <c r="I46" i="1" l="1"/>
  <c r="M46" i="1" s="1"/>
  <c r="I177" i="1"/>
  <c r="I146" i="1"/>
  <c r="I49" i="1"/>
  <c r="I150" i="1" l="1"/>
  <c r="I148" i="1"/>
  <c r="I161" i="1"/>
  <c r="I147" i="1"/>
  <c r="I135" i="1"/>
  <c r="G136" i="1"/>
  <c r="I136" i="1"/>
  <c r="I179" i="1"/>
  <c r="M157" i="1" l="1"/>
  <c r="I133" i="1"/>
  <c r="I132" i="1" s="1"/>
  <c r="I114" i="1"/>
  <c r="M173" i="1"/>
  <c r="I211" i="1"/>
  <c r="I215" i="1"/>
  <c r="M107" i="1" l="1"/>
  <c r="I99" i="1" l="1"/>
  <c r="L69" i="1" l="1"/>
  <c r="M256" i="1"/>
  <c r="M172" i="1" l="1"/>
  <c r="L43" i="1"/>
  <c r="M45" i="1"/>
  <c r="I52" i="1" l="1"/>
  <c r="M52" i="1" s="1"/>
  <c r="L39" i="1" l="1"/>
  <c r="L218" i="1"/>
  <c r="L213" i="1"/>
  <c r="L195" i="1"/>
  <c r="M87" i="1" l="1"/>
  <c r="L255" i="1" l="1"/>
  <c r="I60" i="1" l="1"/>
  <c r="M60" i="1" s="1"/>
  <c r="I59" i="1"/>
  <c r="G60" i="1" l="1"/>
  <c r="I274" i="1"/>
  <c r="I100" i="1"/>
  <c r="L88" i="1"/>
  <c r="M92" i="1"/>
  <c r="M93" i="1"/>
  <c r="M80" i="1"/>
  <c r="L263" i="1"/>
  <c r="I38" i="1"/>
  <c r="I12" i="1"/>
  <c r="M278" i="1" l="1"/>
  <c r="M269" i="1"/>
  <c r="I283" i="1"/>
  <c r="M9" i="1"/>
  <c r="I22" i="1"/>
  <c r="L240" i="1"/>
  <c r="M240" i="1" s="1"/>
  <c r="I74" i="1"/>
  <c r="I113" i="1"/>
  <c r="I254" i="1"/>
  <c r="M254" i="1" s="1"/>
  <c r="P254" i="1" l="1"/>
  <c r="L257" i="1"/>
  <c r="M27" i="1" l="1"/>
  <c r="M28" i="1"/>
  <c r="I54" i="1" l="1"/>
  <c r="I53" i="1" s="1"/>
  <c r="L197" i="1" l="1"/>
  <c r="M47" i="1" l="1"/>
  <c r="I217" i="1" l="1"/>
  <c r="I263" i="1" l="1"/>
  <c r="G263" i="1" s="1"/>
  <c r="N265" i="1" l="1"/>
  <c r="L141" i="1"/>
  <c r="I43" i="1" l="1"/>
  <c r="M43" i="1" s="1"/>
  <c r="I44" i="1"/>
  <c r="M44" i="1" s="1"/>
  <c r="I213" i="1"/>
  <c r="I37" i="1"/>
  <c r="I51" i="1"/>
  <c r="M51" i="1" s="1"/>
  <c r="I50" i="1"/>
  <c r="M50" i="1" s="1"/>
  <c r="N207" i="1"/>
  <c r="M207" i="1"/>
  <c r="M139" i="1"/>
  <c r="M131" i="1"/>
  <c r="I130" i="1" l="1"/>
  <c r="L72" i="1" l="1"/>
  <c r="M16" i="1"/>
  <c r="L70" i="1" l="1"/>
  <c r="L58" i="1" l="1"/>
  <c r="L242" i="1" l="1"/>
  <c r="L244" i="1"/>
  <c r="I200" i="1" l="1"/>
  <c r="M200" i="1" s="1"/>
  <c r="G201" i="1"/>
  <c r="I204" i="1"/>
  <c r="M204" i="1" s="1"/>
  <c r="I141" i="1"/>
  <c r="I171" i="1"/>
  <c r="M171" i="1" s="1"/>
  <c r="I170" i="1"/>
  <c r="M170" i="1" s="1"/>
  <c r="M126" i="1" l="1"/>
  <c r="I199" i="1"/>
  <c r="M199" i="1" s="1"/>
  <c r="I198" i="1"/>
  <c r="M198" i="1" s="1"/>
  <c r="L243" i="1" l="1"/>
  <c r="M219" i="1" l="1"/>
  <c r="G219" i="1" l="1"/>
  <c r="M58" i="1"/>
  <c r="M59" i="1"/>
  <c r="M84" i="1"/>
  <c r="M76" i="1"/>
  <c r="M69" i="1"/>
  <c r="M72" i="1"/>
  <c r="M70" i="1"/>
  <c r="M71" i="1"/>
  <c r="M250" i="1"/>
  <c r="M251" i="1"/>
  <c r="M197" i="1"/>
  <c r="L196" i="1" l="1"/>
  <c r="L223" i="1" l="1"/>
  <c r="I34" i="1" l="1"/>
  <c r="L19" i="1" l="1"/>
  <c r="L82" i="1"/>
  <c r="L232" i="1"/>
  <c r="L81" i="1"/>
  <c r="I145" i="1" l="1"/>
  <c r="I65" i="1"/>
  <c r="M145" i="1" l="1"/>
  <c r="L120" i="1"/>
  <c r="I64" i="1" l="1"/>
  <c r="M100" i="1"/>
  <c r="G101" i="1"/>
  <c r="M101" i="1"/>
  <c r="M91" i="1"/>
  <c r="M65" i="1" l="1"/>
  <c r="I21" i="1"/>
  <c r="M21" i="1" s="1"/>
  <c r="I39" i="1" l="1"/>
  <c r="I40" i="1"/>
  <c r="M40" i="1" s="1"/>
  <c r="I41" i="1"/>
  <c r="M41" i="1" s="1"/>
  <c r="I42" i="1"/>
  <c r="M42" i="1" s="1"/>
  <c r="I73" i="1"/>
  <c r="I10" i="1"/>
  <c r="M39" i="1" l="1"/>
  <c r="I36" i="1"/>
  <c r="L217" i="1"/>
  <c r="L83" i="1" l="1"/>
  <c r="L74" i="1" l="1"/>
  <c r="L264" i="1" l="1"/>
  <c r="L215" i="1" l="1"/>
  <c r="G218" i="1" l="1"/>
  <c r="I218" i="1" s="1"/>
  <c r="I212" i="1"/>
  <c r="G213" i="1"/>
  <c r="M106" i="1"/>
  <c r="M105" i="1"/>
  <c r="I104" i="1"/>
  <c r="I103" i="1" s="1"/>
  <c r="I66" i="1" l="1"/>
  <c r="M67" i="1"/>
  <c r="M14" i="1"/>
  <c r="M221" i="1"/>
  <c r="L166" i="1"/>
  <c r="M123" i="1" l="1"/>
  <c r="M230" i="1" l="1"/>
  <c r="M241" i="1"/>
  <c r="M245" i="1"/>
  <c r="G245" i="1"/>
  <c r="M236" i="1"/>
  <c r="G236" i="1"/>
  <c r="M233" i="1"/>
  <c r="M232" i="1"/>
  <c r="M228" i="1"/>
  <c r="I239" i="1" l="1"/>
  <c r="M239" i="1" s="1"/>
  <c r="I238" i="1"/>
  <c r="M79" i="1"/>
  <c r="M81" i="1"/>
  <c r="L122" i="1"/>
  <c r="M238" i="1" l="1"/>
  <c r="L262" i="1" l="1"/>
  <c r="L260" i="1"/>
  <c r="M225" i="1"/>
  <c r="L261" i="1" l="1"/>
  <c r="M135" i="1" l="1"/>
  <c r="M136" i="1"/>
  <c r="M265" i="1"/>
  <c r="L214" i="1" l="1"/>
  <c r="L34" i="1" l="1"/>
  <c r="M78" i="1"/>
  <c r="M86" i="1"/>
  <c r="M85" i="1"/>
  <c r="M83" i="1"/>
  <c r="M82" i="1"/>
  <c r="L49" i="1"/>
  <c r="L114" i="1" l="1"/>
  <c r="N128" i="1"/>
  <c r="L164" i="1" l="1"/>
  <c r="L216" i="1"/>
  <c r="L95" i="1" l="1"/>
  <c r="L259" i="1" l="1"/>
  <c r="L89" i="1" l="1"/>
  <c r="L212" i="1" l="1"/>
  <c r="L281" i="1" l="1"/>
  <c r="L96" i="1" l="1"/>
  <c r="L104" i="1" l="1"/>
  <c r="M203" i="1" l="1"/>
  <c r="I214" i="1" l="1"/>
  <c r="I222" i="1" l="1"/>
  <c r="I33" i="1"/>
  <c r="M90" i="1" l="1"/>
  <c r="I281" i="1"/>
  <c r="M249" i="1"/>
  <c r="M248" i="1"/>
  <c r="M247" i="1"/>
  <c r="I167" i="1"/>
  <c r="I168" i="1"/>
  <c r="M168" i="1" s="1"/>
  <c r="I169" i="1"/>
  <c r="M169" i="1" s="1"/>
  <c r="I166" i="1"/>
  <c r="I216" i="1"/>
  <c r="I210" i="1" s="1"/>
  <c r="M217" i="1"/>
  <c r="M218" i="1"/>
  <c r="M125" i="1"/>
  <c r="M130" i="1"/>
  <c r="M129" i="1"/>
  <c r="M167" i="1" l="1"/>
  <c r="M215" i="1"/>
  <c r="M216" i="1"/>
  <c r="M166" i="1"/>
  <c r="L237" i="1" l="1"/>
  <c r="L97" i="1" l="1"/>
  <c r="L62" i="1" l="1"/>
  <c r="L98" i="1" l="1"/>
  <c r="L283" i="1" l="1"/>
  <c r="M124" i="1" l="1"/>
  <c r="M246" i="1" l="1"/>
  <c r="G246" i="1"/>
  <c r="G244" i="1"/>
  <c r="G243" i="1"/>
  <c r="M243" i="1"/>
  <c r="M244" i="1"/>
  <c r="L163" i="1" l="1"/>
  <c r="L113" i="1" l="1"/>
  <c r="I242" i="1"/>
  <c r="G135" i="1"/>
  <c r="G212" i="1"/>
  <c r="M128" i="1"/>
  <c r="M266" i="1"/>
  <c r="M242" i="1" l="1"/>
  <c r="L10" i="1"/>
  <c r="M259" i="1" l="1"/>
  <c r="M260" i="1"/>
  <c r="M261" i="1"/>
  <c r="M262" i="1"/>
  <c r="M263" i="1"/>
  <c r="M264" i="1"/>
  <c r="M237" i="1"/>
  <c r="M104" i="1"/>
  <c r="L161" i="1"/>
  <c r="M165" i="1" l="1"/>
  <c r="I196" i="1" l="1"/>
  <c r="I142" i="1" s="1"/>
  <c r="M196" i="1" l="1"/>
  <c r="I140" i="1"/>
  <c r="M29" i="1"/>
  <c r="M202" i="1"/>
  <c r="M146" i="1"/>
  <c r="M164" i="1"/>
  <c r="M163" i="1"/>
  <c r="I75" i="1" l="1"/>
  <c r="M89" i="1"/>
  <c r="M88" i="1"/>
  <c r="M212" i="1"/>
  <c r="M213" i="1"/>
  <c r="M214" i="1"/>
  <c r="M98" i="1" l="1"/>
  <c r="I119" i="1" l="1"/>
  <c r="I112" i="1" s="1"/>
  <c r="G47" i="1" l="1"/>
  <c r="M271" i="1" l="1"/>
  <c r="M257" i="1"/>
  <c r="L22" i="1" l="1"/>
  <c r="L150" i="1" l="1"/>
  <c r="L149" i="1"/>
  <c r="L147" i="1"/>
  <c r="M235" i="1" l="1"/>
  <c r="M137" i="1" l="1"/>
  <c r="G195" i="1" l="1"/>
  <c r="G192" i="1"/>
  <c r="G194" i="1"/>
  <c r="G179" i="1"/>
  <c r="M63" i="1" l="1"/>
  <c r="G177" i="1" l="1"/>
  <c r="G163" i="1"/>
  <c r="G162" i="1"/>
  <c r="G161" i="1"/>
  <c r="G144" i="1"/>
  <c r="G147" i="1"/>
  <c r="G148" i="1"/>
  <c r="G149" i="1"/>
  <c r="G150" i="1"/>
  <c r="G143" i="1"/>
  <c r="G55" i="1"/>
  <c r="G56" i="1"/>
  <c r="G57" i="1"/>
  <c r="G48" i="1"/>
  <c r="G49" i="1"/>
  <c r="G37" i="1"/>
  <c r="G35" i="1"/>
  <c r="G34" i="1"/>
  <c r="M277" i="1" l="1"/>
  <c r="M20" i="1"/>
  <c r="G20" i="1"/>
  <c r="M22" i="1"/>
  <c r="M156" i="1" l="1"/>
  <c r="M158" i="1"/>
  <c r="M159" i="1"/>
  <c r="M160" i="1"/>
  <c r="G115" i="1"/>
  <c r="G116" i="1"/>
  <c r="G117" i="1"/>
  <c r="G118" i="1"/>
  <c r="G119" i="1"/>
  <c r="G122" i="1"/>
  <c r="G134" i="1"/>
  <c r="G133" i="1"/>
  <c r="N139" i="1" s="1"/>
  <c r="G151" i="1"/>
  <c r="G152" i="1"/>
  <c r="G153" i="1"/>
  <c r="G154" i="1"/>
  <c r="G156" i="1"/>
  <c r="G157" i="1" s="1"/>
  <c r="G158" i="1"/>
  <c r="G159" i="1"/>
  <c r="G160" i="1"/>
  <c r="G176" i="1"/>
  <c r="G178" i="1"/>
  <c r="G180" i="1"/>
  <c r="G181" i="1"/>
  <c r="G182" i="1"/>
  <c r="G183" i="1"/>
  <c r="G184" i="1"/>
  <c r="G185" i="1"/>
  <c r="G186" i="1"/>
  <c r="G187" i="1"/>
  <c r="G188" i="1"/>
  <c r="G189" i="1"/>
  <c r="G190" i="1"/>
  <c r="G191" i="1"/>
  <c r="G193" i="1"/>
  <c r="G268" i="1"/>
  <c r="G276" i="1"/>
  <c r="G275" i="1"/>
  <c r="M38" i="1"/>
  <c r="G104" i="1" l="1"/>
  <c r="M19" i="1" l="1"/>
  <c r="G227" i="1" l="1"/>
  <c r="G229" i="1"/>
  <c r="G231" i="1"/>
  <c r="G234" i="1"/>
  <c r="G75" i="1" l="1"/>
  <c r="G73" i="1"/>
  <c r="G70" i="1"/>
  <c r="L7" i="1" l="1"/>
  <c r="M12" i="1" l="1"/>
  <c r="M276" i="1" l="1"/>
  <c r="M275" i="1"/>
  <c r="M234" i="1"/>
  <c r="M231" i="1"/>
  <c r="M283" i="1" l="1"/>
  <c r="I282" i="1"/>
  <c r="M121" i="1"/>
  <c r="M280" i="1" l="1"/>
  <c r="M281" i="1"/>
  <c r="M268" i="1"/>
  <c r="I95" i="1" l="1"/>
  <c r="I68" i="1" s="1"/>
  <c r="M195" i="1" l="1"/>
  <c r="M194" i="1"/>
  <c r="M162" i="1"/>
  <c r="M193" i="1"/>
  <c r="M192" i="1"/>
  <c r="M161" i="1"/>
  <c r="M229" i="1"/>
  <c r="I279" i="1"/>
  <c r="M122" i="1"/>
  <c r="M279" i="1" l="1"/>
  <c r="M267" i="1"/>
  <c r="M255" i="1"/>
  <c r="M253" i="1"/>
  <c r="M99" i="1" l="1"/>
  <c r="L183" i="1" l="1"/>
  <c r="M183" i="1" s="1"/>
  <c r="L182" i="1"/>
  <c r="M182" i="1" s="1"/>
  <c r="L189" i="1"/>
  <c r="M189" i="1" s="1"/>
  <c r="L187" i="1"/>
  <c r="M187" i="1" s="1"/>
  <c r="L181" i="1"/>
  <c r="M181" i="1" s="1"/>
  <c r="L190" i="1"/>
  <c r="M190" i="1" s="1"/>
  <c r="L180" i="1"/>
  <c r="L186" i="1"/>
  <c r="M186" i="1" s="1"/>
  <c r="L184" i="1"/>
  <c r="M184" i="1" s="1"/>
  <c r="M11" i="1"/>
  <c r="M13" i="1"/>
  <c r="M24" i="1"/>
  <c r="M26" i="1"/>
  <c r="M34" i="1"/>
  <c r="M35" i="1"/>
  <c r="M37" i="1"/>
  <c r="M48" i="1"/>
  <c r="M49" i="1"/>
  <c r="M54" i="1"/>
  <c r="M55" i="1"/>
  <c r="M56" i="1"/>
  <c r="M57" i="1"/>
  <c r="M62" i="1"/>
  <c r="M73" i="1"/>
  <c r="M74" i="1"/>
  <c r="M75" i="1"/>
  <c r="M77" i="1"/>
  <c r="M96" i="1"/>
  <c r="M97" i="1"/>
  <c r="M110" i="1"/>
  <c r="M114" i="1"/>
  <c r="M115" i="1"/>
  <c r="M116" i="1"/>
  <c r="M117" i="1"/>
  <c r="M118" i="1"/>
  <c r="M119" i="1"/>
  <c r="M120" i="1"/>
  <c r="M133" i="1"/>
  <c r="M134" i="1"/>
  <c r="M143" i="1"/>
  <c r="M144" i="1"/>
  <c r="M147" i="1"/>
  <c r="M148" i="1"/>
  <c r="M149" i="1"/>
  <c r="M150" i="1"/>
  <c r="M151" i="1"/>
  <c r="M152" i="1"/>
  <c r="M153" i="1"/>
  <c r="M154" i="1"/>
  <c r="M155" i="1"/>
  <c r="M176" i="1"/>
  <c r="M177" i="1"/>
  <c r="M178" i="1"/>
  <c r="M179" i="1"/>
  <c r="M185" i="1"/>
  <c r="M188" i="1"/>
  <c r="M191" i="1"/>
  <c r="M201" i="1"/>
  <c r="M223" i="1"/>
  <c r="M227" i="1"/>
  <c r="L111" i="1" l="1"/>
  <c r="M180" i="1"/>
  <c r="M211" i="1" l="1"/>
  <c r="I226" i="1" l="1"/>
  <c r="I224" i="1" s="1"/>
  <c r="I111" i="1" s="1"/>
  <c r="G226" i="1" l="1"/>
  <c r="M226" i="1"/>
  <c r="M141" i="1" l="1"/>
  <c r="M95" i="1"/>
  <c r="I109" i="1"/>
  <c r="I25" i="1" l="1"/>
  <c r="M25" i="1" s="1"/>
  <c r="M10" i="1" l="1"/>
  <c r="M113" i="1" l="1"/>
  <c r="M111" i="1" l="1"/>
  <c r="I23" i="1"/>
  <c r="I8" i="1" s="1"/>
  <c r="I7" i="1" s="1"/>
  <c r="I284" i="1" l="1"/>
  <c r="M23" i="1"/>
  <c r="M7" i="1" l="1"/>
</calcChain>
</file>

<file path=xl/sharedStrings.xml><?xml version="1.0" encoding="utf-8"?>
<sst xmlns="http://schemas.openxmlformats.org/spreadsheetml/2006/main" count="675" uniqueCount="379">
  <si>
    <t>Додаток 6</t>
  </si>
  <si>
    <t>РОЗПОДІЛ</t>
  </si>
  <si>
    <t>×</t>
  </si>
  <si>
    <t>Код Функціональної класифікації видатків та кредитування бюджету</t>
  </si>
  <si>
    <t>0117650</t>
  </si>
  <si>
    <t>0490</t>
  </si>
  <si>
    <t>Проведення експертної грошової оцінки земельних ділянок комунальної власності по вул. м.Буча</t>
  </si>
  <si>
    <t>Х</t>
  </si>
  <si>
    <t>0110150</t>
  </si>
  <si>
    <t>01 Бучанська міська рада</t>
  </si>
  <si>
    <t>Капітальні видатки (придбання предметів довгострокового використання)</t>
  </si>
  <si>
    <t>0116030</t>
  </si>
  <si>
    <t>За рахунок коштів бюджету розвитку</t>
  </si>
  <si>
    <t>Проведення експертної грошової оцінки земельної ділянки чи права на неї</t>
  </si>
  <si>
    <t>Передача коштів із ЗФ до СФ</t>
  </si>
  <si>
    <t>0150</t>
  </si>
  <si>
    <t>0111</t>
  </si>
  <si>
    <t>Організаційне, інформаційно-аналітичне та матеріально-технічне забезпечення діяльності обласної  ради, районної ради, районної у місті ради (у разі її створення), міської, селищної, сільської рад та їх виконавчих комітетів</t>
  </si>
  <si>
    <t>0620</t>
  </si>
  <si>
    <t>Організація благоустрою населених пунктів</t>
  </si>
  <si>
    <t>0456</t>
  </si>
  <si>
    <t xml:space="preserve">ВСЬОГО </t>
  </si>
  <si>
    <t>0180</t>
  </si>
  <si>
    <t>0617321</t>
  </si>
  <si>
    <t>0443</t>
  </si>
  <si>
    <t>0117441</t>
  </si>
  <si>
    <t>Утримання та розвиток мостів/шляхопроводів</t>
  </si>
  <si>
    <t>Капітальний ремонт огорожі комунальної власності по вул.Польова в м.Буча Київської області</t>
  </si>
  <si>
    <t>0117322</t>
  </si>
  <si>
    <t>0117370</t>
  </si>
  <si>
    <t>Реалізація інших заходів щодо соціально-економічного розвитку територій</t>
  </si>
  <si>
    <t>0116011</t>
  </si>
  <si>
    <t>0610</t>
  </si>
  <si>
    <t>Експлуатація та технічне обслуговування житлового фонду</t>
  </si>
  <si>
    <t xml:space="preserve">Капітальний ремонт покрівлі житлового будинку комунальної власності по вул. Героїв Майдану,10  в м.Буча Київської області </t>
  </si>
  <si>
    <t xml:space="preserve">Капітальний ремонт покрівлі житлового будинку комунальної власності по вул. Героїв Майдану,15  в м.Буча Київської області </t>
  </si>
  <si>
    <t>0119750</t>
  </si>
  <si>
    <t>0119770</t>
  </si>
  <si>
    <t>Інші субвенції з місцевого бюджету</t>
  </si>
  <si>
    <t>Капітальний ремонт дороги комунальної власності по вул.Проектна №1 (від а/д Т 10-01 до вул.Промислова) в м.Буча Київської області (співфінансування)</t>
  </si>
  <si>
    <t xml:space="preserve">Підтримка громадських проектів (Громадський бюджет) </t>
  </si>
  <si>
    <t>0117461</t>
  </si>
  <si>
    <t>Утримання та розвиток автомобільних доріг та дорожньої інфраструктури за рахунок коштів місцевого бюджету</t>
  </si>
  <si>
    <t xml:space="preserve">Техніко – економічне обґрунтування будівництва автомобільної дороги між А/Д М-07 Київ – Ковель до А/Д Гостомель – Берестянка - Мирча </t>
  </si>
  <si>
    <t>Капітальний ремонт "Навчально-виховний комплекс "Синяківський хіміко-технологічний ліцей закладу загальноосвітньої середньої освіти І-ІІ ступенів" Київської області</t>
  </si>
  <si>
    <t>капітальний ремонт дороги комунальної власності з тротуаром по вул.Горького (від вул.Депутатська до №6) в м.Буча Київської області (співфінансування)</t>
  </si>
  <si>
    <t>Будівництво освітніх установ та закладів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</si>
  <si>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вул.Травневій,66 в смт.Бабинці Бучанської міської територіальної громади Київської області</t>
  </si>
  <si>
    <t>0112080</t>
  </si>
  <si>
    <t>0721</t>
  </si>
  <si>
    <t>Амбулаторно-поліклінічна допомога населенню, крім первинної медичної допомоги</t>
  </si>
  <si>
    <t>Будівництво дошкільного дитячого закладу на 75 місць в с.Бабинці Київської області (співфінансування)</t>
  </si>
  <si>
    <t>0990</t>
  </si>
  <si>
    <t>0611200</t>
  </si>
  <si>
    <t>0117363</t>
  </si>
  <si>
    <t>Виконання інвестиційних проектів в рамках здійснення заходів щодо соціально-економічного розвитку окремих територій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</si>
  <si>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</t>
  </si>
  <si>
    <t>0116040</t>
  </si>
  <si>
    <t>Заходи, пов’язані з поліпшенням питної води</t>
  </si>
  <si>
    <t>0621</t>
  </si>
  <si>
    <t>Реконструкція майданчика водопровідних споруд із застосуванням новітних технологій та встановленням обладнання з очистки та знезалізнення  питної води за адресою: Київська область, с. Гаврилівка, вул. Соснова, 2 за рахунок співфінансування</t>
  </si>
  <si>
    <t xml:space="preserve">Надання освіти за рахунок субвенції з державного бюджету місцевим бюджетам на надання державної підтримки особам з особливими освітніми потребами </t>
  </si>
  <si>
    <t>Будівництво медичних установ та закладів</t>
  </si>
  <si>
    <t>0617368</t>
  </si>
  <si>
    <t xml:space="preserve">Виконання інвестиційних проектів за рахунок субвенцій з інших бюджетів </t>
  </si>
  <si>
    <t>Капітальний ремонт дороги комунальної власності по вул Назарія Яремчука (від вул Івана Кожедуба до вул. Яблунська) в м.Буча Київської області (співфінансування)</t>
  </si>
  <si>
    <t>0160</t>
  </si>
  <si>
    <t>1010160</t>
  </si>
  <si>
    <t>Керівництво і управління у відповідній сфері у містах (місті Києві), селищах, селах, територіальних громадах</t>
  </si>
  <si>
    <t>Капітальний ремонт приміщень відділу культури, національностей та релігій Бучанської міської ради за адресою :м.Буча, вул. Героїв Майдану,15</t>
  </si>
  <si>
    <t xml:space="preserve">10 Відділ культури, національностей та релігій Бучанської міської ради </t>
  </si>
  <si>
    <t xml:space="preserve">06 Відділ освіти Бучанської міської ради </t>
  </si>
  <si>
    <t xml:space="preserve">Секретар ради       ______________________________________________________________________________ Тарас ШАПРАВСЬКИЙ                                           </t>
  </si>
  <si>
    <t>Каса</t>
  </si>
  <si>
    <t xml:space="preserve">01 КП "Бучабудзамовник"Бучанської міської ради </t>
  </si>
  <si>
    <t xml:space="preserve">01 КП "Бучазеленбуд" Бучанської міської ради </t>
  </si>
  <si>
    <t>Розробка техніко - економічного обґрунтування проектної документації "Будівництво підземного автомобільного переїзду в районі  залізничної станції міста Буча"</t>
  </si>
  <si>
    <t>0112111</t>
  </si>
  <si>
    <t>Первинна медична допомога населенню, що надається центрами первинної медичної (медико-санітарної) допомоги</t>
  </si>
  <si>
    <t>0726</t>
  </si>
  <si>
    <t>Розробка робочої документації "Проект з експериментального будівництва об'єкту інженерно - транспортної інфраструктури, а саме: пішохідного шляхопроводу тунельного типу під залізничними коліями станції м. Буча з виходом до пасажирської платформи залізничного вокзалу без перерви руху залізничного транспорту"</t>
  </si>
  <si>
    <t xml:space="preserve">11 Відділ молоді та спорту Бучанської міської ради </t>
  </si>
  <si>
    <t>1115041</t>
  </si>
  <si>
    <t>Утримання та фінансова підтримка спортивних споруд</t>
  </si>
  <si>
    <t>0810</t>
  </si>
  <si>
    <t xml:space="preserve">37 Фінансове управління Бучанської міської ради </t>
  </si>
  <si>
    <t>1014060</t>
  </si>
  <si>
    <t>Забезпечення діяльності палаців i будинків культури, клубів, центрів дозвілля та iнших клубних закладів</t>
  </si>
  <si>
    <t>0828</t>
  </si>
  <si>
    <t xml:space="preserve">Капітальні видатки (придбання предметів довгострокового використання) </t>
  </si>
  <si>
    <t>Придбання комплекту охоронної сигналізації для Будинків культури Бучанської міської територіальної громади (м.Буча,вул.Яблунська,15;с.Гаврилівка,вул. Свято - Троїцька,6)</t>
  </si>
  <si>
    <t>0118230</t>
  </si>
  <si>
    <t>Інші заходи громадського порядку та безпеки</t>
  </si>
  <si>
    <t>0380</t>
  </si>
  <si>
    <t>01 КП «Бучасервіс» Бучанської міської ради</t>
  </si>
  <si>
    <t>01  КП «Бучасервіс» Бучанської міської ради</t>
  </si>
  <si>
    <t xml:space="preserve">Авторський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</si>
  <si>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 xml:space="preserve">Технічний нагляд по об’єкту: « Реконструкція майданчика водопровідних споруд із застосуванням новітніх технологій та встановленням обладнання з очистки та знезалізнення  питної води за адресою: Київська область, с. Гаврилівка, вул. Соснова, 2» </t>
  </si>
  <si>
    <t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Тарасівська, 14-а»</t>
  </si>
  <si>
    <t>розкидувач сівалка</t>
  </si>
  <si>
    <t>Рекнострукція існуючої мережі водпостачання комунальної власності по вул.Михайленка в с.Гаврилівка Київської області</t>
  </si>
  <si>
    <t>Проектна документація "Капітальний ремонт зупинкових майданчиків між вул.Нова та а/д Т 1011 в с.Здвижівка Київської області"</t>
  </si>
  <si>
    <t>Проектна документація "Будівництво дитячого майданчика між вул. Лісова та вул. Незалежності в с.Буда-Бабинецька Київської області"</t>
  </si>
  <si>
    <t>Проектна документація "Реконструкція дитячого майданчика по вул. Незалежності поряд з 21 б в с.Буда-Бабинецька Київської області"</t>
  </si>
  <si>
    <t>Проектна документація "Рекнострукція існуючої мережі водпостачання комунальної власності по вул.Михайленка в с.Гаврилівка Київської області"</t>
  </si>
  <si>
    <t>Проектна документація "Капітальний ремонт системи водовідведення по вул.Свято - Троїцька в с.Гаврилівка Київської області"</t>
  </si>
  <si>
    <t>Проектна документація "Капітальний ремонт системи водовідведення по вул.Петровського (біля №16) в с.Блиставиця Київської області"</t>
  </si>
  <si>
    <t>Проектна документація "Капітальний ремонт дороги комунальної власності між вул.Яблунська та а/д Т 10-01 в м.Буча Київської області"</t>
  </si>
  <si>
    <t>Проектна документація "Капітальний ремонт дороги комунальної власності по вул.Проектна №3 в м.Буча Київської області "</t>
  </si>
  <si>
    <t>Проектна документація "Капітальний ремонт дороги комунальної власності між вул. Лесі Українки та бульвару Б.Хмельницького в м.Буча Київської області.Коригування"</t>
  </si>
  <si>
    <t>Проектна документація "Капітальний ремонт тротуару комунальної власності між бульваром Б.Хмельницького та вул.Вишнева в м.Буча Київської області"</t>
  </si>
  <si>
    <t>Проектна документація "Реконструкція дороги комунальної власності по вул.Польова від вул.Енергетиків в м.Буча Київської області"</t>
  </si>
  <si>
    <t>Проектна документація "Капітальний ремонт доріг комунальної властності в межах вул. І.Руденко,М.Мурашка, сім'ї Забарило із влаштуванням кільцевої транспортної розв'язки по бул.Б.Хмельницького із під'їздом до центру надання соцільних послуг "Прозорий офіс" в м.Буча Київської області"</t>
  </si>
  <si>
    <t>0110180</t>
  </si>
  <si>
    <t xml:space="preserve">01 Архівний відділ Бучанської міської ради </t>
  </si>
  <si>
    <t>Інша діяльність у сфері державного управління</t>
  </si>
  <si>
    <t>0133</t>
  </si>
  <si>
    <t>Будівництво інших об`єктів комунальної власності</t>
  </si>
  <si>
    <t>0117330</t>
  </si>
  <si>
    <t>Придбання у комунальну власність 58/100 частки нежитлової двоповерхової адміністративної будівлі, що розташована за адресою: Київська область, с. Блиставиця, вулиця Ярослава Мудрого,1</t>
  </si>
  <si>
    <t>Придбання у комунальну власність Бучанської міської територіальної громади нежитлових приміщень  156 та 157 за адресою м.Буча, вул.К.Білокур, буд.1-а для розміщення амбулаторії сімейного типу</t>
  </si>
  <si>
    <t>Капітальний ремонт прибудинкової території житловго будинку комунальної власності по вул.Садова,7 в с.Гаврилівка Київської області</t>
  </si>
  <si>
    <t>Капітальний ремонт прибудинкової території житловго будинку комунальної власності по вул.Садова,12 в с.Гаврилівка Київської області</t>
  </si>
  <si>
    <t>Капітальний ремонт прибудинкової території житловго будинку комунальної власності по вул.Садова,16 в с.Гаврилівка Київської області</t>
  </si>
  <si>
    <t>Капітальний ремонт прибудинкової території житловго будинку комунальної власності по вул.Садова,18 в с.Гаврилівка Київської області</t>
  </si>
  <si>
    <t>Проектна документація "Капітальний ремонт прибудинкової території житловго будинку комунальної власності по вул.Садова,18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</si>
  <si>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вул.Садова,16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</si>
  <si>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вул.Садова,12 в с.Гаврилівка Київської області"</t>
  </si>
  <si>
    <t>Проектна документація "Капітальний ремонт прибудинкової території житловго будинку комунальної власності по вул.Садова,7 в с.Гаврилівка Київської області"</t>
  </si>
  <si>
    <t>Проектна документація "Капітальний ремонт дороги з тротуаром комунальної власності по провул.Євгена Гребінки в м.Буча Київської областіі"</t>
  </si>
  <si>
    <t>Проектна документація "Капітальний ремонт дороги комунальної власності по вул.Гоголя (від вул.Антонія Михайловського до вул.Інституська) в м.Буча Київської області.Коригування"</t>
  </si>
  <si>
    <t>Проектна документація "Капітальний ремонт дороги комунальної власності по вул.Інституська (від вул.Тургенєва до вул.Революції) в м.Буча Київської області.Коригування"</t>
  </si>
  <si>
    <t>Проектна документація " Капітальний ремонт дороги комунальної власності з тротуаром по вул. Горького (від вул. Депутатська до №6 ) в м. Буча Київської області"</t>
  </si>
  <si>
    <t>Проектна документація "Капітальний ремонт дороги комунальної власності по вул.Виноградна в м.Буча Київської області "</t>
  </si>
  <si>
    <t>Капітальний ремонт спеціалізованого автомобіля та встановлення додаткового обладнання (бункер-піскорозкидач в комплекті із запчастинами)</t>
  </si>
  <si>
    <t>Проектна документація "Будівництво зупиок громадського транспорту біля ЖК "Forest Land" в м.Буча Київської області"</t>
  </si>
  <si>
    <t>0617366</t>
  </si>
  <si>
    <t>Реалізація проектів в рамках Надзвичайної кредитної програми для відновлення України</t>
  </si>
  <si>
    <t>Залишок плану</t>
  </si>
  <si>
    <t xml:space="preserve"> Logica номерація об'єктів</t>
  </si>
  <si>
    <t>За рахунок субвенції</t>
  </si>
  <si>
    <t>Розробка проектної документації по об’єкту «Будівництво адміністративної будівлі для облаштування приміщень ЦНАП у с.Синяк, Бучанської міської об’єднаної територіальної громади, Київської області по вул.Київська» (нове будівництво)»</t>
  </si>
  <si>
    <t xml:space="preserve">08 Управління соціальної політики Бучанської міської ради </t>
  </si>
  <si>
    <t>0817323</t>
  </si>
  <si>
    <t>Будівництво установ та закладів соціальної сфери</t>
  </si>
  <si>
    <t>1110160</t>
  </si>
  <si>
    <t>Капітальний ремонт дороги комунальної власності по вул.Гоголя (від вул.Києво - Мироцька до вул. Старояблунська) в м.Буча Київської області</t>
  </si>
  <si>
    <t>Капітальний ремонт огорожі кладовища комунальної власності по вул.Депутатська в м.Буча Київської області</t>
  </si>
  <si>
    <t>Капітальний ремонт тротуару комунальної власності між бульв.Б.Хмельницького та вул. Вишнева в м.Буча Київської області</t>
  </si>
  <si>
    <t>Капітальний ремонт дороги комунальної власності по пров.Санаторний ( від вул.Польова до пров.Героїв Майдану) в м.Буча Київської області</t>
  </si>
  <si>
    <t>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</t>
  </si>
  <si>
    <t>Капітальний ремонт мереж вуличного освітлення комунальної власності по вул.Ватутіна (від вул.Шевченко до вул.Михайловського) в м.Буча Київської області</t>
  </si>
  <si>
    <t>Капітальний ремонт дороги комунальної властності між вул. Лесі Українки та бульв. Б.Хмельницького в м.Буча Київської області. Додаткові роботи</t>
  </si>
  <si>
    <t xml:space="preserve">Технічний нагляд по об’єкту: « Капітальний ремонт дороги комунальної властності між вул. Лесі Українки та бульв. Б.Хмельницького в м.Буча Київської області. Додаткові роботи» </t>
  </si>
  <si>
    <t>Розробка проектно-кошторисної документації на проведення капітального ремонту "Капітальний ремонт приміщення спортивної зали в Будинку культури «Полісся» в с. Гаврилівка Київської області"</t>
  </si>
  <si>
    <t>Виготовлення проектно-кошторисної документації по об'єкту будівництву "Реконструкція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області"</t>
  </si>
  <si>
    <t>Виготовлення проектно-кошторисної документації стадії "РП" розділу "Електропостачання" для об'єкту: "Електропостачання.Будівництво дошкільного дитячого закладу на 144 місця по вул.Лесі Українки в м.Буча Київської області"</t>
  </si>
  <si>
    <t>Коригування кошторисної частини проектно-кошторисної документації по об'єкту "Реконструкція адміністративної будівлі з прибудовою вхідної групи по бульвару Б.Хмельницького,5/5А,м.Буча, Київської області"</t>
  </si>
  <si>
    <t>0116082</t>
  </si>
  <si>
    <t>Придбання житла для окремих категорій населення відповідно до законодавства</t>
  </si>
  <si>
    <t>Придбання у комунальну власність житла для надання в тимчасове користування внутрішньо переміщеним особам ( співфінансування 30%)</t>
  </si>
  <si>
    <t>Будівництво дошкільного дитячого закладу на 144 місця по вул.Лесі Українки в м.Буча Київської області.Коригування</t>
  </si>
  <si>
    <t xml:space="preserve">Будівництво дошкільного дитячого закладу на 144 місця по вул.Лесі Українки в м.Буча Київської області.Коригування </t>
  </si>
  <si>
    <t>Розробка проектної документації по об’єкту "Реконструкція адміністративної будівлі за адресою: Київської області, с.Блиставиця, вул. Ярослва мудрого, буд.1-А"</t>
  </si>
  <si>
    <t>Розроблення проектно-кошторисної документації по об"єкту "Капітальний ремонт озеленення із влаштуванням  автоматичного поливу парку  козацького побуту в межах вулиць Шевченка та Тургенєва в м.Буча Київської області"</t>
  </si>
  <si>
    <t>Розроблення проектно-кошторисної документації по об"єкту "Капітальний ремонт озеленення з облаштування майданчиків та влаштування системи автоматичного поливу біля озера у Бучанському міському парку в м.Буча Київської області"</t>
  </si>
  <si>
    <t>Капітальний ремонт  освітлення скейт-парку у Бучанському міському парку в м.Буча Київської області</t>
  </si>
  <si>
    <t>Реконструкція фонтану на Київській площи в м.Буча Київської області</t>
  </si>
  <si>
    <t xml:space="preserve">Виготовлення проектно – кошторисної документації по об’єкту «Реконструкція дороги по вул. Нове Шосе (від вул. Шевченка до А/Д Т10-01 Ворзель – Забуччя) в м.Буча Київської області» </t>
  </si>
  <si>
    <t xml:space="preserve">Виготовлення проектно – кошторисної документації по об’єкту «Реконструкція дороги з тротуаром по вул. Шевченка (від №2 до вул. Нове Шосе) в м.Буча Київської області» </t>
  </si>
  <si>
    <t>0800000</t>
  </si>
  <si>
    <t>0600000</t>
  </si>
  <si>
    <t>0100000</t>
  </si>
  <si>
    <t>1100000</t>
  </si>
  <si>
    <t>1000000</t>
  </si>
  <si>
    <t>Рівень виконання робіт на почтаок бюджетного періоду, %</t>
  </si>
  <si>
    <t>X</t>
  </si>
  <si>
    <t>Рівень готовності об'єкта на кінець бюджетного періоду, %</t>
  </si>
  <si>
    <t>коштів бюджету розвитку на здійснення заходів на будівництво, реконструкцію і реставрацію, капітальний ремонт об'єктів виробничої, комунікаційної та соціальної інфраструктури за об'єктами у 2021 році</t>
  </si>
  <si>
    <t>2021-2022</t>
  </si>
  <si>
    <t>Код Програмної класифікації видатків та кредитування місцевого бюджету</t>
  </si>
  <si>
    <t>Код Типової програмної класифікації видатків та кредитування місцевого бюджету</t>
  </si>
  <si>
    <t>Найменування головного розпорядника коштів місцевого бюджету/відповідального виконавця, найменування бюджетної програми згідно з Типовою програмною класифікацією видатків та кредитування місцевого бюджету</t>
  </si>
  <si>
    <t>Найменування об’єкта будівництва/вид будівельних робіт, у тому числі проектні роботи</t>
  </si>
  <si>
    <t>Загальна тривалість будівництва (рік початку і завершення)</t>
  </si>
  <si>
    <t>Загальна вартість будівництва, гривень</t>
  </si>
  <si>
    <t>Обсяг видатків бюджету розвитку, які спрямовуються на будівництво об"єкта у бюджетному періоді, гривень</t>
  </si>
  <si>
    <t>0117361</t>
  </si>
  <si>
    <t>Співфінансування інвестиційних проектів, що реалізуються за рахунок коштів державного фонду регіонального розвитку</t>
  </si>
  <si>
    <t xml:space="preserve">Коригування проектно- кошторисної документації по об’єкту : «Реконструкція майданчика водопровідних споруд із застосуванням новітніх технологій та встановленням обладнання з очистки та знезалізнення питної води за адресою: Київська область м. Буча, вул. Склозаводська, 12-б» </t>
  </si>
  <si>
    <t>Реконструкція з добудовою загальноосвітньої школи №1 І-ІІІ ступенів по вул. Малиновського,74 в м.Буча Київської області. Коригування (співфінансування)</t>
  </si>
  <si>
    <t>Будівництво футбольного поля із штучним покриттям та біговою доріжкою на території ЗОШ №6, по вул.Соборна,27 в с.Блиставиця, Київської області</t>
  </si>
  <si>
    <t xml:space="preserve">Будівництво дошкільного закладу на 144 місця по вул. Лесі Українки в м.Буча Київської області. Коригування </t>
  </si>
  <si>
    <t>Виготовлення проектно-кошторисної документації по "Будівництву дошкільного дитячого закладу на 75 місць в с.Бабинці Київської області"</t>
  </si>
  <si>
    <t>Виготовлення проектно-кошторисної документації по об'єкту ництву "Капітальний ремонт приміщень Бучанського навчального-виховного комплексу "Спеціалізована загальноосвітня школа І-ІІІ ступенів - загальноосвітня школаІ-ІІІ" №2 по вул.Шевченка,14 в м. Буча Київської області"</t>
  </si>
  <si>
    <t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</t>
  </si>
  <si>
    <t xml:space="preserve">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 </t>
  </si>
  <si>
    <t>Реконструкція з добудовою загальноосвітньої школи №1 І-ІІІ ступенів по вул. Малиновського,74 в м.Буча Київської області.Коригування</t>
  </si>
  <si>
    <t xml:space="preserve">Проведення технічного обстеження по об'єкту  «Реконструкція Бучанського навчального-виховного комплексу "Спеціалізована загальноосвітня школа І-ІІІ ступенів - загальноосвітня школа І-ІІІ" №2 по вул.Шевченка,14 в м. Буча Київської області»  </t>
  </si>
  <si>
    <t>6360</t>
  </si>
  <si>
    <t>1014030</t>
  </si>
  <si>
    <t>Забезпечення діяльності бібліотек</t>
  </si>
  <si>
    <t>0824</t>
  </si>
  <si>
    <t>2021-2023</t>
  </si>
  <si>
    <t>Капітальний ремонт приміщення амбулаторії загальної практики-сімейної медицини комунальної власності (утеплення фасадів та заміна вікон) по вул. Європейська № 4-Д в сел. Ворзель, Київської області</t>
  </si>
  <si>
    <t xml:space="preserve"> придбання легкових автомобілів</t>
  </si>
  <si>
    <t xml:space="preserve">Проходження державної експертизи проектно-кошторисної документації по об'єкту   «Капітальний ремонт щодо покращення енергозбереження будівлі Бучанської загальноосвітня школа І-ІІІ №3 по вул.Вокзальна,46А в м. Буча Київської області. Коригування»  </t>
  </si>
  <si>
    <t>підмітально-прибиральну установку Брод Скандія</t>
  </si>
  <si>
    <t>багатофункціональні пристрої, придбання легкових автомобілів,комп.</t>
  </si>
  <si>
    <t>реверсний мотоблок в комплекті з насівним обладненням,косарки бензинові</t>
  </si>
  <si>
    <t>проектор</t>
  </si>
  <si>
    <t>автомобіль</t>
  </si>
  <si>
    <t>0617363</t>
  </si>
  <si>
    <t>0817363</t>
  </si>
  <si>
    <t>Реконструкція адміністративної будівлі з прибудовою вхідної групи по бул. Б. Хмельницького, 5/5а, м. Буча, Київської області</t>
  </si>
  <si>
    <t xml:space="preserve">Капітальний ремонт туалетних приміщень в Комунальному закладі « Синяківський хіміко-технологічний ліцей- заклад загальної середньої освіти I-II ступенів» №15 в с. Синяк, Київської області </t>
  </si>
  <si>
    <t>0611061</t>
  </si>
  <si>
    <t>0921</t>
  </si>
  <si>
    <t>Надання загальної середньої освіти закладами загальної середньої освіти</t>
  </si>
  <si>
    <t xml:space="preserve">Капітальний ремонт туалетних приміщень в Комунальному закладі « Луб'янський заклад загальної середньої освіти I-II ступенів» №7 в с. Луб'янка, Київської області </t>
  </si>
  <si>
    <t xml:space="preserve">Капітальний ремонт туалетних приміщень в Комунальному закладі « Бабинецький заклад загальної середньої освіти I-III ступенів» № 13 в смт. Бабинці Київської області </t>
  </si>
  <si>
    <t xml:space="preserve">Капітальний ремонт туалетних приміщень в Комунальному закладі « Ворзельський заклад загальної середньої освіти I-III ступенів №10» Бучанської міської ради Київської області </t>
  </si>
  <si>
    <t xml:space="preserve">Капітальний ремонт туалетних приміщень в Комунальному закладі « Блиставицький заклад загальної середньої освіти I-III ступенів №6» Бучанської міської ради </t>
  </si>
  <si>
    <t xml:space="preserve">Капітальний ремонт туалетних приміщень в Комунальному закладі « Гаврилівський заклад загальної середньої освіти I-III ступенів №8» Бучанської міської ради </t>
  </si>
  <si>
    <t>Реконструкція фонтану, що розташований в межах дитячої зони в Бучанському міському парку в м. Буча Київської області</t>
  </si>
  <si>
    <t>Будівництво спортивного блоку в комплексі з будівлями загальноосвітньої школи № 2 по вул.Шевченка, 14 в м. Буча (Коригування)</t>
  </si>
  <si>
    <t xml:space="preserve"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</t>
  </si>
  <si>
    <t>Капітальний ремонт благоустрою території комунальної власності по вул. Польова в м. Буча Київської області</t>
  </si>
  <si>
    <t>Капітальний ремонт-озеленення по вул. Київська в с. Синяк Бучанського району Київської області</t>
  </si>
  <si>
    <t xml:space="preserve">Виготовлення проектно-кошторисної документації по об'єкту 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</si>
  <si>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 xml:space="preserve">Технічний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 </t>
  </si>
  <si>
    <t>Авторський нагляд по об’єкту  «Капітальний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</t>
  </si>
  <si>
    <t>Авторський нагляд по об’єкту  "Реконструкція з добудовою загальноосвітньої школи №1 І-ІІІ ступенів по вул.Малиновського,74 в м.Буча Київської області. Коригування"</t>
  </si>
  <si>
    <t>Технічний нагляд по об’єкту 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</t>
  </si>
  <si>
    <t xml:space="preserve">Авторський нагляд по об’єкту « Капітальний ремонт будівлі загальноосвітньої школи №2 по вул.Шевченка,14 в м. Буча Київської області (утеплення фасадів та заміна покриття даху).Коригування.» </t>
  </si>
  <si>
    <t>Виготовлення проектно – кошторисної документації по об’єкту «Будівництво дошкільного дитячого закладу на 144 місця по вул. Лесі Українки в м. Буча Київської області.(Робочі креслення)»</t>
  </si>
  <si>
    <t xml:space="preserve">Технічний нагляд по об’єкту «Будівництво дошкільного дитячого закладу на 144 місця по вул. Лесі Українки в м. Буча Київської області. Коригування»  </t>
  </si>
  <si>
    <t xml:space="preserve">Технічний нагляд по об’єкту « Будівництво спортивного блоку в комплексі з будівлями загальноосвітньої школи № 2 по вул.Шевченка, 14 в м. Буча (Залишки).Коригування» </t>
  </si>
  <si>
    <t>Виготовлення проектно – кошторисної документації по об’єкту «Будівництво спортивного блоку в комплексі з будівлями загальноосвітньої школи № 2 по вул. Шевченка, в м. Буча. Реконструкція системи газопостачання котельні»</t>
  </si>
  <si>
    <t>Капітальний ремонт системи водовідведення по вул. Тюменцева-Хвилі в м. Буча Київської області</t>
  </si>
  <si>
    <t>Встановлення на об'єктах бюджетної сфери м. Буча індивідуальних теплових пунктів з погодним регулюванням</t>
  </si>
  <si>
    <t>Субвенція з місцевого бюджету на співфінансування інвестиційних проектів</t>
  </si>
  <si>
    <t>Капітальний ремонт дороги комунальної власності по вул. Тюльпанова в сел. Ворзель Київської області</t>
  </si>
  <si>
    <t>Капітальний ремонт мереж вуличного освітлення в с. Здвижівка</t>
  </si>
  <si>
    <t>Забезпечення діяльності водопровідно-каналізаційного господарства</t>
  </si>
  <si>
    <t>0116013</t>
  </si>
  <si>
    <t>Технічний нагляд по об'єкту "Капітальний ремонт дороги комунальної власності по вул. Інститутська ( від вул. Тургенєва до вул. Революції) в м. Буча Київської області)"</t>
  </si>
  <si>
    <t>Капітальний ремонт приміщень Бучанського навчально-виховного комплексу " Спеціалізована загальноосвітня школа I-III ступенів- загальноосвітня школа I-III ступенів №2 по вул. Шевченка,14 в м. Буча Київської області"</t>
  </si>
  <si>
    <t>Капітальний ремонт будівлі загальноосвітньої школи №2 по вул. Шевченка,14 в м. Буча Київської області ( утеплення фасадів та заміна покриття даху) ( співфінансування)</t>
  </si>
  <si>
    <t>Капітальний ремонт щодо покращення енергозбереження двоповерхової будівлі Комунального закладу "Блиставицький заклад дошкільної освіти комбінованого типу №8 "Золота рибка" Бучанської міської ради Київської області за адресою: вул. Соборна, 29, с. Блиставиця, Бучанського району, Київської області" ( співфінансування)</t>
  </si>
  <si>
    <t>моноблок</t>
  </si>
  <si>
    <t>Розроблення проектної документації стадії « робочий проєкт» по об'єкту « Будівництво очисних споруд комунальної власності за адресою Київська область, Бучанський район, с. Блиставиця вул. Ярослава Мудрого, б, 1-а»</t>
  </si>
  <si>
    <t>Розроблення проектної документації стадії « робочий проєкт» по об'єкту « Будівництво котельні комунальної власності за адресою Київська область, Бучанський район, с. Блиставиця, вулиця Ярослава Мудрого, б. 3-а»</t>
  </si>
  <si>
    <t>Капітальний ремонт мереж вуличного освітлення по вул. Б. Гмирі в м. Буча Київської області</t>
  </si>
  <si>
    <t>0611182</t>
  </si>
  <si>
    <t>Виконання заходів, спрямованих на забезпечення якісної, сучасної та доступної загальної середньої освіти « Нова українська школа» за рахунок субвенції з державного бюджету місцевим бюджетам</t>
  </si>
  <si>
    <t>Придбання у комунальну власність житла для надання в тимчасове користування внутрішньо переміщеним особам</t>
  </si>
  <si>
    <t>Капітальний ремонт харчоблоку Комунального закладу « Синяківський хіміко-технологічний ліцей»- заклад загальної середньої освіти I-II ступенів» № 15 в с. Синяк, Київської області»</t>
  </si>
  <si>
    <t>Виготовлення проектно-кошторисної документації об"єкту "Будівництво амбулаторії загальної практики сімейної медицини комунальної власності по вул.Котляревського, 21-б в смт.Ворзель Бучанської міської територіальної громади Київської області</t>
  </si>
  <si>
    <t>Капітальний ремонт групових приміщень Мироцького закладу дошкільної освіти № 13 « Лелеченя» Бучанської міської ради Київської області в с. Мироцьке, Київської області</t>
  </si>
  <si>
    <t>Капітальний ремонт шкільних приміщень Комунального закладу « Синяківський хіміко-технологічний ліцей – заклад загальної середньої освіти I-II ступенів» № 15 в с. Синяк, Київської області</t>
  </si>
  <si>
    <t>Капітальний ремонт актової зали Комунального закладу « Здвижівська гімназія № 14» в с. Здвижівка, Київської області</t>
  </si>
  <si>
    <t>Будівництво зони відпочинку навколо озера по вул. Т. Шевченка в с. Мироцьке Бучанського району Київської області</t>
  </si>
  <si>
    <t>Реконструкція фонтану на Київській площі, в м. Буча Київської області</t>
  </si>
  <si>
    <t xml:space="preserve">Придбання телемедичного обладнання для амбулаторій загальної практики-сімейної медицини в с. Блиставиця ( вул. Єдності 1а), с. Луб'янка ( вул. Шевченка 93), сел. Ворзель ( вул. Котляревського, 21 б), с. Мироцьке ( вул. Центральна, 3)
</t>
  </si>
  <si>
    <t>Капітальний ремонт велодоріжки комунальної власності у нижні частині Бучанського міського парку в м. Буча Київської області</t>
  </si>
  <si>
    <t>Капітальний ремонт системи автоматичного поливу по вул. Київська в с. Синяк Бучанського району Київської області</t>
  </si>
  <si>
    <t>Капітальний ремонт-озеленення по вул. Нове Шосе ( між бульв. Б. Хмельницького та вул. Вишнева) в м. Буча Київської області</t>
  </si>
  <si>
    <t>Капітальний ремонт благоустрою території- влаштування спортивного майданчику біля озера Бучанського міського парку в м. Буча Київської області</t>
  </si>
  <si>
    <t>Капітальний ремонт покрівель трансформаторних підстанцій в м. Буча Київської області</t>
  </si>
  <si>
    <t>Розроблення проектної документації  «Капітальний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</si>
  <si>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Розроблення проектної документації « Капітальний ремонт велодоріжки комунальної власності по вул. Тургенєва ( від вул. Інститутська до №8)в м. Буча Київської області</t>
  </si>
  <si>
    <t>Розроблення проектної документації « Капітальний ремонт пішохідної зони між вул. Леха Качинського та пров. Богдана Ступки ( біля будинку № 129) в м. Буча Київської області</t>
  </si>
  <si>
    <t>0611021</t>
  </si>
  <si>
    <t>Надання загальної середньої освіти за рахунок коштів місцевого бюджету</t>
  </si>
  <si>
    <t>Реконструкція адміністративної будівлі за адресою :Київська обл., Бучанський район, с. Блиставиця, вул. Ярослава Мудрого буд.1-А</t>
  </si>
  <si>
    <t xml:space="preserve">Комплексної експертизи якості проектних рішень 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</si>
  <si>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Технічний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</si>
  <si>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Авторський нагляд по об'єкту будівництва « Капітальний ремонт приміщень Бучанського навчально-виховного комплексу « Спеціалізована загальноосвітня школа I-III ступенів – загальноосвітня школа I-III ступенів»  № 2 по вул. Шевченка, 14  в м. Буча Київської області»</t>
  </si>
  <si>
    <t>Капітальний ремонт фасаду ( шкільний мурал ) в Бучанському навчально-виховному комплексі « Спеціалізована загальноосвітня школа I-III ступенів – загальноосвітня школа I-III ступенів» №4 по вул. Енергетиків ,2 в м. Буча Київської області</t>
  </si>
  <si>
    <t>Виготовлення проектно-кошторисної документації стадії « Робочий проект» за розділом « Система пожежної сигналізації та оповіщення про пожежу»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</si>
  <si>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 xml:space="preserve">Виготовлення проектно-кошторисної документації в розділі « Енергоефективність» по об'єкту будівництва « Будівництво дошкільного навчального закладу на 75 місць в смт. Бабинці Бучанського району Київської області по вул. Травневій,70» Нове будівництво» </t>
  </si>
  <si>
    <t>0291</t>
  </si>
  <si>
    <t>Виготовлення проектно-кошторисної документації стадії "РП" розділу "Електропостачання" для об'єкту: "Електропостачання.Будівництву дитячого садка на 75 місць в с.Синяк Вишгородського району Київської області"</t>
  </si>
  <si>
    <t>Будівництво спортивного блоку в комплексі з будівлями загальноосвітньої школи №2 по вул. Шевченка,14 в м. Буча ( Залишки). Коригування (співфінансування)</t>
  </si>
  <si>
    <t xml:space="preserve">Виготовлення проектно-кошторисної документації по об'єкту "Капітальний ремонт будівлі загальноосвітньої школи №2 по вул.Шевченка,14 в м. Буча Київської області (утеплення фасадів та заміна покриття даху)"( співфінансування) </t>
  </si>
  <si>
    <t>Додаткові роботи по об'єкту будівництва « Будівництво дошкільного навчального закладу на 144 місця по вул. Лесі українки в м. Буча Київської області»( співфінансування)</t>
  </si>
  <si>
    <t>0611210</t>
  </si>
  <si>
    <t>Надання освіти за рахунок залишку коштів за субвенцією з державного бюджету місцевим бюджетам на надання державної підтримки особам з особливими освітніми потребами</t>
  </si>
  <si>
    <t>Коригування проектно-кошторисної документації "Будівництво автомобільної дороги комунальної власності між автомобільною дорогою М-07 Київ-Ковель-Ягодин та вул.Польова в с.Мироцьке Київської області  (співфінансування)"</t>
  </si>
  <si>
    <t>7363</t>
  </si>
  <si>
    <t>01 КНП "Бучанський центр первинної медико-санітарної допомоги" Бучанської міської ради</t>
  </si>
  <si>
    <t>01 КНП "Бучанський консультативно-діагностичний центр"  Бучанської міської ради</t>
  </si>
  <si>
    <t>Співфінансування за рахунок місцевого бюджету у розмірі 70% вартості по об'єкту « Капітальний ремонт міжбудинкового проїзду та тротуару за адресою Київська область, м. Буча, вул. Тарасівська,10-В»</t>
  </si>
  <si>
    <t>01 ЖБК « Ірпіньмаш-2»</t>
  </si>
  <si>
    <t>«Капітальний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обл.» Коригування</t>
  </si>
  <si>
    <t>0118110</t>
  </si>
  <si>
    <t>Заходи із запобігання та ліквідації надзвичайних ситуацій та наслідків стихійного лиха</t>
  </si>
  <si>
    <t xml:space="preserve">Капітальний ремонт нежитлового приміщення комунальної властності "Рада хаб - місце, що об'єднує людей" по вул. Центральна 102 в с.Здвижівка Бучанського району Київської області (Підтримка громадських проектів (Громадський бюджет) </t>
  </si>
  <si>
    <t>Капітальний ремонт пішохідної зони між вул. Травнева та вул. Кооперативна(біля селищної ради) в сел. Бабинці Київської області</t>
  </si>
  <si>
    <t>Капітальний ремонт велодоріжки комунальної власності по вул. А. Михайловського ( від вул. Сілезька до вул. Тургенєва) в м. Буча Київської області</t>
  </si>
  <si>
    <t>Капітальний ремонт велодоріжки комунальної власності по вул. Тургенєва ( від вул. Інститутська до №8)в м. Буча Київської області</t>
  </si>
  <si>
    <t>Капітальний ремонт пішохідної зони між вул. Леха Качинського та пров. Богдана Ступки ( біля будинку № 129) в м. Буча Київської області</t>
  </si>
  <si>
    <t>Капітальний ремонт благоустрою території між вул. Травнева та вул. Кооперативна (біля селищної ради) в сел. Бабинці Київської області</t>
  </si>
  <si>
    <t>Придбання у комунальну власність Бучанської міської територіальної громади нежитлової будівлі загальною площею 876,3 кв. м, що розташована за адресою: Київська область, м. Буча, вул. Енергетиків, 1 -А</t>
  </si>
  <si>
    <t>Реконструкція дороги комунальної власності по вул. Паркова від озера Бучанського міського парку до вул. Сілезька в м. Буча Київської області</t>
  </si>
  <si>
    <t>2020-2021</t>
  </si>
  <si>
    <t>Реконструкція дороги комунальної власності по бульвару Леоніда Бірюкова в м. Буча Київської області</t>
  </si>
  <si>
    <t>Капітальний ремонт щодо покращення енергозбереження будівлі Ворзельської початкової загальноосвітньої школи I ступеня № 11 комунальної власності вул. Березова,5, селищі Ворзель Київської обл. Коригування (співфінансування)</t>
  </si>
  <si>
    <t>Заміна та перенесення приладу обліку «електропостачання» по об’єкту  «Реконструкція з добудовою загальноосвітньої школи №1 І-ІІІ ступенів по вул. Малиновського,74 в м.Буча Київської област</t>
  </si>
  <si>
    <t>Розроблення проектно – кошторисної документації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</si>
  <si>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Проведення технічно нагляду по об'єкту « Будівництво футбольного поля із штучним покриттям та біговою доріжкою на території ЗОШ №6, по вул.Соборна,27 в с. Блиставиця, Київської області</t>
  </si>
  <si>
    <t>Авторський нагляд по об’єкту « Будівництво спортивного блоку в комплексі з будівлями загальноосвітньої школи № 2 по вул. Шевченка, 14 в м. Буча (Залишки). Коригування</t>
  </si>
  <si>
    <t>Капітальний ремонт нежитлового приміщення №69 Управління соціальної політики Бучанської міської ради за адресою: м. Буча, вул. Енергетиків,19</t>
  </si>
  <si>
    <t>Капітальний ремонт перехрестя доріг комунальної власності між вул. Л. Качинського та вул. Інститутська в м. Буча Київської області</t>
  </si>
  <si>
    <t>Інша діяльність, пов’язана з експлуатацією об’єктів житлово-комунального господарства</t>
  </si>
  <si>
    <t xml:space="preserve">Капітальний ремонт території комунальної власності бази КП « Бучасервіс» по вул. Л. Качинського, 1-А в м. Буча Київської області </t>
  </si>
  <si>
    <t xml:space="preserve">Будівництво дошкільного навчального закладу на 75 місць в с. Синяк Бучанського району Київської області. ( Благоустрій прилеглої території) </t>
  </si>
  <si>
    <t xml:space="preserve">Надання спеціальної освіти мистецькими школами </t>
  </si>
  <si>
    <t>1011080</t>
  </si>
  <si>
    <t>0960</t>
  </si>
  <si>
    <t>придбання стелажів та станка для прошивки документів,принтер, багатофункціонального пристрою</t>
  </si>
  <si>
    <t>Проектні, будівельно-ремонтні роботи, придбання житла та приміщень для розвитку сімейних та інших форм виховання, наближених до сімейних, та забезпечення житлом дітей-сиріт, дітей, позбавлених батьківського піклування, осіб з їх числа</t>
  </si>
  <si>
    <t>Капітальні трансферти населенню</t>
  </si>
  <si>
    <t>0816083</t>
  </si>
  <si>
    <t>Виготовлення проектно-кошторисної документації  « Електропостачання. Будівництво дошкільного навчального закладу на 75 місць в смт. Бабинці Бучанського району Київської області по вул. Травневій,70 « Нове будівництво»</t>
  </si>
  <si>
    <t>Капітальний ремонт приміщень Комунального закладу « Блиставицький заклад загальної середньої освіти I-III ступенів» №6 Бучанської міської ради»</t>
  </si>
  <si>
    <t>Капітальний ремонт фонтану комунальної власності по вул. Енергетиків,17 в м.Буча Київської області</t>
  </si>
  <si>
    <t>Капітальний ремонт тротуару комунальної власності по вул. Києво-Мироцька ( від №52 до вул. Яснополянська) в м. Буча Київської області</t>
  </si>
  <si>
    <t>Капітальний ремонт благоустрою території ( встановлення флагштоків) вздовж дороги ( між а/д М-07 та вул. Польова) в с. Мироцьке Київської області</t>
  </si>
  <si>
    <t>Капітальний ремонт перехрестя доріг комунальної власності між вул. Нове Шосе та бульв. Л. Бірюкова в м. Буча Київської області</t>
  </si>
  <si>
    <t>Капітальний ремонт перехрестя доріг комунальної власності між вул. Л. Українка та вул. Нове Шосе в м. Буча Київської області</t>
  </si>
  <si>
    <t>Нове будівництво котельні комунальної власності за адресою: Київська обл., Бучанський район, с. Блиставиця, вулиця Ярослава Мудрого, буд. 3-А</t>
  </si>
  <si>
    <t>Розроблення проектно-кошторисної документації по об'єкту: « 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</si>
  <si>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Капітальний ремонт перехрестя доріг комунальної власності між вул. Інститутська та вул. Сілезька в м. Буча Київської області</t>
  </si>
  <si>
    <t>Реконструкція дороги комунальної власності по вул. Польова від вул. Енергетиків до вул. Михайла Гориня в м. Буча Київської області</t>
  </si>
  <si>
    <t xml:space="preserve"> Розроблення проектно-кошторисної документації по об'єкту « Будівництво зони відпочинку навколо озера по вул. Тараса Шевченка в с. Мироцьке Бучанського району Київської області»</t>
  </si>
  <si>
    <t>Розроблення проектної документації "Реконструкція ставка по вул. Ватутіна в с. Веронівка Бучанського району Київської області"</t>
  </si>
  <si>
    <t>Будівництво зони відпочинку із влаштуванням спортивних багатофункціональних майданчиків біля озера по вул. Тараса Шевченка в с. Мироцьке Бучанського району Київської області</t>
  </si>
  <si>
    <t>Будівництво амбулаторії загальної практики сімейної медицини комунальної власності по вул. Травневій, 66 в смт Бабинці, Бучанської міської територіальної громади Київської області</t>
  </si>
  <si>
    <t>Капітальний ремонт дороги комунальної власності в межах вул. І. Руденко, м. Мурашка, сім’ї Забарило із влаштуванням кільцевої транспортної розв’язки по бульв. Б. Хмельницького із під’їздом до центру надання соціальних послуг “Прозорий офіс” в м. Буча Київської області</t>
  </si>
  <si>
    <t>Технічний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</si>
  <si>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Авторський нагляд на об'єкті « Реконструкція адмінбудівлі за адресою Київська область, Бучанський район, с. Блиставиця, вул. Ярослава Мудрого, буд 1-А»</t>
  </si>
  <si>
    <t>Капітальний ремонт огорожі комунальної власності вздовж вул. Центральна в с. Мироцьке Київської області</t>
  </si>
  <si>
    <t>Капітальний ремонт мереж вуличного освітлення по вул. Л. Бірюкова та вул. Вишнева ( від вул. Бірюкова до вул. нове Шосе) в м. Буча Київської області</t>
  </si>
  <si>
    <t>Коригування проектно-кошторисної документації по об'єкту « Будівництво спортивного блоку в комплексі з будівлями загальноосвітньої школи №2 по вул. Шевченка,14 в м. Буча ( залишки). Коригування»</t>
  </si>
  <si>
    <t>Розробку проектно-кошторисної документації по об'єкту « Капітальний ремонт футбольного поля та бігової доріжки на території Гаврилівського закладу загальної середньої освіти №8 по вул. Садова,21 в с. Гаврилівка Київської області»</t>
  </si>
  <si>
    <t>Розробку проектно-кошторисної документації по об'єкту « Капітальний ремонт футбольного поля та бігової доріжки на території Мироцької гімназії №12 по вул. Соборна,127 в с. Мироцьке Київської області»</t>
  </si>
  <si>
    <t>цифровий перетворювач для мамографа, моноблоки,апаратів ШВЛ</t>
  </si>
  <si>
    <t>Розроблення проектно-кошторисної документації ро об'єкту: « Будівництво дошкільного дитячого закладу на 144 місця по вул. Лесі Українки в м. Буча Київської області. Коригування робочих креслень зовнішніх інженерних мереж»</t>
  </si>
  <si>
    <t>комп.техніки , меблів сенсорного куточку</t>
  </si>
  <si>
    <t>269 209 котел інклюзії 1200</t>
  </si>
  <si>
    <t>Капітальні трансферти населенню (співфінансування)</t>
  </si>
  <si>
    <t>Розроблення проектно-кошторисної документації на « Реконструкцію системи електропостачання будівель та споруд Бучанської міської ради зі встановленням резервної дизельної електростанції за адресою: м. Буча вул. Енергетиків,12»</t>
  </si>
  <si>
    <t>0810160</t>
  </si>
  <si>
    <t>3710160</t>
  </si>
  <si>
    <t>Капітальний ремонт мереж вуличного освітлення по вул. Яблунська в м.Буча Київської області</t>
  </si>
  <si>
    <t>Капітальний ремонт приміщень амбулаторії загальної практики- сімейної медицини комунальної власності по (внутрішні роботи) вул. Європейська, 4-д в сел. Ворзель Київської області</t>
  </si>
  <si>
    <t>0116017</t>
  </si>
  <si>
    <t>Придбання інноваційної техніки для створення сучасної бібліотеки в Комунальному закладів « Ворзельський заклад загальної середньої освіти I-III ступенів №10» Бучанської міської ради Київської області» (громадський бюджет)</t>
  </si>
  <si>
    <t xml:space="preserve"> "Капітальний ремонт зупинкових майданчиків між вул.Нова та а/д Т 1011 в с.Здвижівка Київської області"</t>
  </si>
  <si>
    <t>Капітальний ремонт благоустрою території ( встановлення флагштоків) в с. Бабинці Київської області</t>
  </si>
  <si>
    <t>Розробка проектної документації по об'єкту « Капітальний ремонт частини першого поверху адміністративної будівлі комунальної власності по вул. Травневій буд 64-Ав с. Бабинці Бучанського району Київської області»</t>
  </si>
  <si>
    <t>Капітальний ремонт тротуару між вул. Л. Качинського та вул. Пушкінська в м. Буча Київської області</t>
  </si>
  <si>
    <t>0813222</t>
  </si>
  <si>
    <t>1060</t>
  </si>
  <si>
    <t>Грошова компенсація за належні для отримання жилі приміщення для внутрішньо переміщених осіб, які захищали незалежність, суверенітет та територіальну цілісність України і брали безпосередню участь в антитерористичній операції, забезпеченні її проведення, перебуваючи безпосередньо в районах антитерористичної операції у період її проведення, у здійсненні заходів із забезпечення національної безпеки і оборони, відсічі і стримування збройної агресії Російської Федерації у Донецькій та Луганській областях, забезпеченні їх здійснення, перебуваючи безпосередньо в районах та у період здійснення зазначених заходів, та визнані особами з інвалідністю внаслідок війни III групи відповідно до пунктів 11 - 14 частини другої статті 7 або учасниками бойових дій відповідно до пунктів 19 - 20 частини першої статті 6 Закону України "Про статус ветеранів війни, гарантії їх соціального захисту", та які потребують поліпшення житлових умов</t>
  </si>
  <si>
    <t>Авторський нагляд « Будівництво зони відпочинку із облаштуванням спортивних багатофункціональних майданчиків біля озера по вул. Тараса Шевченка в с. Мироцьке Бучанського району Київської області»</t>
  </si>
  <si>
    <t>« Авторський нагляд « Будівництво зони відпочинку навколо озера по вул. Т. Шевченка в с. Мироцьке Бучанського району Київської області»</t>
  </si>
  <si>
    <t>0116072</t>
  </si>
  <si>
    <t>Погашення заборгованості з різниці в тарифах, що підлягає урегулюванню згідно із Законом України «Про заходи, спрямовані на врегулювання заборгованості теплопостачальних та теплогенеруючих організацій та підприємств централізованого водопостачання і водовідведення» за рахунок відповідної субвенції з державного бюджету</t>
  </si>
  <si>
    <t>0640</t>
  </si>
  <si>
    <t>Заходи, спрямовані на врегулювання заборгованості теплопостачальних т теплогенеруючих організацій та підприємств централізованого водопостачання і водовідведення</t>
  </si>
  <si>
    <t>Утримання та розвиток автомобільних доріг та дорожньої інфраструктури за рахунок субвенції з державного бюджету</t>
  </si>
  <si>
    <t>0117462</t>
  </si>
  <si>
    <t>Капітальний ремонт дороги комунальної власності по вул. Вокзальна ( від вул. Нове Шосе до вул. Яблунська) із влаштуванням кільцевої розв'язки на вул. Жовтнева в м. Буча Київської області</t>
  </si>
  <si>
    <t>Капітальний ремонт дороги комунальної власності по вул. Гоголя( від вул. Антонія Михайловського до вул. Інститутська) в м. Буча Київської області</t>
  </si>
  <si>
    <t>Капітальний ремонт футбольного поля та бігової доріжки на території Мироцької гімназії №12 на вул. Соборна,127,в с. Мироцьке Київської області</t>
  </si>
  <si>
    <t xml:space="preserve">до рішення Бучанської міської ради №2606-26-VIІІ   від  23.12.2021р. "Про внесення змін до рішення 5 сесії Бучанської міської ради VIIІ  скликання від 24.12.2020р. №124-5- VIIІ" Про місцевий бюджет Бучанської міської територіальної громади на 2021 рік"                                                                                                                                                                                       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</si>
</sst>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.0%"/>
  </numFmts>
  <fonts count="30" x14ac:knownFonts="1">
    <font>
      <sz val="10"/>
      <color theme="1"/>
      <name val="Calibri"/>
      <family val="2"/>
      <charset val="204"/>
      <scheme val="minor"/>
    </font>
    <font>
      <sz val="10"/>
      <color indexed="8"/>
      <name val="Times New Roman"/>
      <family val="1"/>
      <charset val="204"/>
    </font>
    <font>
      <b/>
      <sz val="14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9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8"/>
      <name val="Calibri"/>
      <family val="2"/>
      <charset val="204"/>
    </font>
    <font>
      <b/>
      <sz val="11"/>
      <color indexed="8"/>
      <name val="Times New Roman"/>
      <family val="1"/>
      <charset val="204"/>
    </font>
    <font>
      <sz val="11"/>
      <name val="Times New Roman"/>
      <family val="1"/>
      <charset val="204"/>
    </font>
    <font>
      <sz val="12"/>
      <color indexed="8"/>
      <name val="Times New Roman"/>
      <family val="1"/>
      <charset val="204"/>
    </font>
    <font>
      <sz val="16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sz val="14"/>
      <name val="Times New Roman"/>
      <family val="1"/>
      <charset val="204"/>
    </font>
    <font>
      <b/>
      <i/>
      <u/>
      <sz val="14"/>
      <color indexed="8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sz val="12"/>
      <color rgb="FFFF0000"/>
      <name val="Times New Roman"/>
      <family val="1"/>
      <charset val="204"/>
    </font>
    <font>
      <b/>
      <sz val="16"/>
      <color rgb="FFFF0000"/>
      <name val="Times New Roman"/>
      <family val="1"/>
      <charset val="204"/>
    </font>
    <font>
      <b/>
      <i/>
      <u/>
      <sz val="12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43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9" fontId="23" fillId="0" borderId="0" applyFont="0" applyFill="0" applyBorder="0" applyAlignment="0" applyProtection="0"/>
  </cellStyleXfs>
  <cellXfs count="379">
    <xf numFmtId="0" fontId="0" fillId="0" borderId="0" xfId="0"/>
    <xf numFmtId="0" fontId="1" fillId="0" borderId="0" xfId="0" applyFont="1"/>
    <xf numFmtId="0" fontId="3" fillId="0" borderId="0" xfId="0" applyFont="1"/>
    <xf numFmtId="0" fontId="7" fillId="0" borderId="1" xfId="0" applyFont="1" applyBorder="1" applyAlignment="1">
      <alignment horizontal="center" vertical="center" wrapText="1" shrinkToFit="1"/>
    </xf>
    <xf numFmtId="0" fontId="1" fillId="0" borderId="0" xfId="0" applyFont="1" applyAlignment="1">
      <alignment horizontal="right"/>
    </xf>
    <xf numFmtId="0" fontId="1" fillId="3" borderId="0" xfId="0" applyFont="1" applyFill="1"/>
    <xf numFmtId="0" fontId="5" fillId="0" borderId="0" xfId="0" applyFont="1" applyFill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9" fillId="3" borderId="1" xfId="0" applyFont="1" applyFill="1" applyBorder="1" applyAlignment="1">
      <alignment horizontal="center" vertical="center" wrapText="1" shrinkToFit="1"/>
    </xf>
    <xf numFmtId="0" fontId="6" fillId="3" borderId="1" xfId="0" applyFont="1" applyFill="1" applyBorder="1" applyAlignment="1">
      <alignment horizontal="center" vertical="center" wrapText="1" shrinkToFit="1"/>
    </xf>
    <xf numFmtId="0" fontId="9" fillId="4" borderId="2" xfId="0" applyFont="1" applyFill="1" applyBorder="1" applyAlignment="1">
      <alignment vertical="center" wrapText="1" shrinkToFit="1"/>
    </xf>
    <xf numFmtId="0" fontId="3" fillId="0" borderId="0" xfId="0" applyFont="1" applyFill="1"/>
    <xf numFmtId="0" fontId="4" fillId="0" borderId="1" xfId="0" applyFont="1" applyFill="1" applyBorder="1" applyAlignment="1">
      <alignment horizontal="center" vertical="center" wrapText="1" shrinkToFit="1"/>
    </xf>
    <xf numFmtId="0" fontId="1" fillId="0" borderId="1" xfId="0" applyFont="1" applyFill="1" applyBorder="1" applyAlignment="1">
      <alignment horizontal="center" vertical="center" wrapText="1" shrinkToFit="1"/>
    </xf>
    <xf numFmtId="0" fontId="1" fillId="0" borderId="0" xfId="0" applyFont="1" applyFill="1"/>
    <xf numFmtId="0" fontId="5" fillId="0" borderId="1" xfId="0" applyFont="1" applyFill="1" applyBorder="1" applyAlignment="1">
      <alignment vertical="center" wrapText="1" shrinkToFit="1"/>
    </xf>
    <xf numFmtId="0" fontId="1" fillId="4" borderId="0" xfId="0" applyFont="1" applyFill="1"/>
    <xf numFmtId="4" fontId="9" fillId="4" borderId="1" xfId="0" applyNumberFormat="1" applyFont="1" applyFill="1" applyBorder="1" applyAlignment="1">
      <alignment horizontal="right" vertical="center" wrapText="1" shrinkToFit="1"/>
    </xf>
    <xf numFmtId="4" fontId="2" fillId="0" borderId="0" xfId="0" applyNumberFormat="1" applyFont="1" applyFill="1"/>
    <xf numFmtId="0" fontId="1" fillId="0" borderId="0" xfId="0" applyFont="1" applyFill="1" applyAlignment="1">
      <alignment horizontal="right"/>
    </xf>
    <xf numFmtId="4" fontId="1" fillId="0" borderId="0" xfId="0" applyNumberFormat="1" applyFont="1" applyFill="1"/>
    <xf numFmtId="0" fontId="1" fillId="0" borderId="0" xfId="0" applyFont="1" applyBorder="1"/>
    <xf numFmtId="4" fontId="1" fillId="0" borderId="0" xfId="0" applyNumberFormat="1" applyFont="1" applyBorder="1" applyAlignment="1">
      <alignment horizontal="right"/>
    </xf>
    <xf numFmtId="0" fontId="1" fillId="0" borderId="0" xfId="0" applyFont="1" applyBorder="1" applyAlignment="1">
      <alignment horizontal="right"/>
    </xf>
    <xf numFmtId="4" fontId="1" fillId="0" borderId="0" xfId="0" applyNumberFormat="1" applyFont="1" applyBorder="1"/>
    <xf numFmtId="0" fontId="12" fillId="0" borderId="0" xfId="0" applyFont="1" applyFill="1" applyBorder="1"/>
    <xf numFmtId="0" fontId="1" fillId="0" borderId="0" xfId="0" applyFont="1" applyFill="1" applyBorder="1"/>
    <xf numFmtId="4" fontId="1" fillId="0" borderId="0" xfId="0" applyNumberFormat="1" applyFont="1" applyFill="1" applyBorder="1"/>
    <xf numFmtId="4" fontId="1" fillId="0" borderId="0" xfId="0" applyNumberFormat="1" applyFont="1" applyFill="1" applyBorder="1" applyAlignment="1">
      <alignment horizontal="right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" fontId="11" fillId="0" borderId="1" xfId="0" applyNumberFormat="1" applyFont="1" applyFill="1" applyBorder="1" applyAlignment="1">
      <alignment horizontal="center" vertical="center" wrapText="1" shrinkToFit="1"/>
    </xf>
    <xf numFmtId="1" fontId="11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 shrinkToFit="1"/>
    </xf>
    <xf numFmtId="0" fontId="11" fillId="3" borderId="1" xfId="0" applyFont="1" applyFill="1" applyBorder="1"/>
    <xf numFmtId="0" fontId="14" fillId="6" borderId="1" xfId="0" applyNumberFormat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>
      <alignment wrapText="1" shrinkToFit="1"/>
    </xf>
    <xf numFmtId="0" fontId="5" fillId="0" borderId="3" xfId="0" applyFont="1" applyFill="1" applyBorder="1" applyAlignment="1">
      <alignment horizontal="center" vertical="center" wrapText="1" shrinkToFit="1"/>
    </xf>
    <xf numFmtId="49" fontId="5" fillId="3" borderId="1" xfId="0" applyNumberFormat="1" applyFont="1" applyFill="1" applyBorder="1" applyAlignment="1">
      <alignment horizontal="center" vertical="center" wrapText="1" shrinkToFit="1"/>
    </xf>
    <xf numFmtId="0" fontId="14" fillId="2" borderId="1" xfId="0" applyNumberFormat="1" applyFont="1" applyFill="1" applyBorder="1" applyAlignment="1" applyProtection="1">
      <alignment horizontal="center" vertical="center" wrapText="1"/>
    </xf>
    <xf numFmtId="0" fontId="11" fillId="3" borderId="1" xfId="0" applyFont="1" applyFill="1" applyBorder="1" applyAlignment="1">
      <alignment horizontal="left" vertical="center" wrapText="1" shrinkToFit="1"/>
    </xf>
    <xf numFmtId="1" fontId="5" fillId="3" borderId="1" xfId="0" applyNumberFormat="1" applyFont="1" applyFill="1" applyBorder="1" applyAlignment="1">
      <alignment vertical="center" wrapText="1" shrinkToFit="1"/>
    </xf>
    <xf numFmtId="1" fontId="5" fillId="3" borderId="3" xfId="0" applyNumberFormat="1" applyFont="1" applyFill="1" applyBorder="1" applyAlignment="1">
      <alignment vertical="center" wrapText="1" shrinkToFit="1"/>
    </xf>
    <xf numFmtId="1" fontId="14" fillId="3" borderId="1" xfId="0" applyNumberFormat="1" applyFont="1" applyFill="1" applyBorder="1" applyAlignment="1">
      <alignment horizontal="center" vertical="center" wrapText="1" shrinkToFit="1"/>
    </xf>
    <xf numFmtId="0" fontId="5" fillId="0" borderId="3" xfId="0" quotePrefix="1" applyFont="1" applyFill="1" applyBorder="1" applyAlignment="1">
      <alignment horizontal="center" vertical="center" wrapText="1" shrinkToFit="1"/>
    </xf>
    <xf numFmtId="0" fontId="11" fillId="3" borderId="3" xfId="0" applyFont="1" applyFill="1" applyBorder="1"/>
    <xf numFmtId="2" fontId="15" fillId="2" borderId="1" xfId="0" applyNumberFormat="1" applyFont="1" applyFill="1" applyBorder="1" applyAlignment="1">
      <alignment horizontal="center" vertical="center" wrapText="1" shrinkToFit="1"/>
    </xf>
    <xf numFmtId="0" fontId="14" fillId="0" borderId="1" xfId="0" applyFont="1" applyBorder="1" applyAlignment="1">
      <alignment wrapTex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7" fillId="0" borderId="0" xfId="0" applyFont="1" applyFill="1" applyAlignment="1">
      <alignment horizontal="center"/>
    </xf>
    <xf numFmtId="0" fontId="5" fillId="3" borderId="1" xfId="0" quotePrefix="1" applyFont="1" applyFill="1" applyBorder="1" applyAlignment="1">
      <alignment horizontal="center" vertical="center" wrapText="1" shrinkToFit="1"/>
    </xf>
    <xf numFmtId="0" fontId="14" fillId="6" borderId="1" xfId="0" applyFont="1" applyFill="1" applyBorder="1" applyAlignment="1">
      <alignment horizontal="left" vertical="center" wrapText="1" shrinkToFit="1"/>
    </xf>
    <xf numFmtId="49" fontId="11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vertical="center" wrapText="1"/>
    </xf>
    <xf numFmtId="0" fontId="5" fillId="0" borderId="1" xfId="0" applyFont="1" applyFill="1" applyBorder="1"/>
    <xf numFmtId="0" fontId="17" fillId="0" borderId="0" xfId="0" applyFont="1"/>
    <xf numFmtId="164" fontId="1" fillId="0" borderId="1" xfId="0" applyNumberFormat="1" applyFont="1" applyFill="1" applyBorder="1"/>
    <xf numFmtId="0" fontId="13" fillId="0" borderId="1" xfId="0" applyFont="1" applyFill="1" applyBorder="1" applyAlignment="1">
      <alignment horizontal="center" vertical="center"/>
    </xf>
    <xf numFmtId="0" fontId="16" fillId="0" borderId="1" xfId="0" applyFont="1" applyFill="1" applyBorder="1" applyAlignment="1">
      <alignment horizontal="center" vertical="center"/>
    </xf>
    <xf numFmtId="0" fontId="11" fillId="0" borderId="3" xfId="0" quotePrefix="1" applyFont="1" applyFill="1" applyBorder="1" applyAlignment="1">
      <alignment horizontal="center" vertical="center" wrapText="1" shrinkToFit="1"/>
    </xf>
    <xf numFmtId="0" fontId="11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64" fontId="18" fillId="0" borderId="1" xfId="0" applyNumberFormat="1" applyFont="1" applyFill="1" applyBorder="1"/>
    <xf numFmtId="164" fontId="19" fillId="0" borderId="1" xfId="0" applyNumberFormat="1" applyFont="1" applyFill="1" applyBorder="1"/>
    <xf numFmtId="164" fontId="20" fillId="7" borderId="1" xfId="0" applyNumberFormat="1" applyFont="1" applyFill="1" applyBorder="1"/>
    <xf numFmtId="0" fontId="1" fillId="4" borderId="1" xfId="0" applyFont="1" applyFill="1" applyBorder="1"/>
    <xf numFmtId="0" fontId="1" fillId="3" borderId="1" xfId="0" applyFont="1" applyFill="1" applyBorder="1"/>
    <xf numFmtId="164" fontId="20" fillId="4" borderId="1" xfId="0" applyNumberFormat="1" applyFont="1" applyFill="1" applyBorder="1"/>
    <xf numFmtId="4" fontId="20" fillId="4" borderId="1" xfId="0" applyNumberFormat="1" applyFont="1" applyFill="1" applyBorder="1"/>
    <xf numFmtId="0" fontId="1" fillId="0" borderId="1" xfId="0" applyFont="1" applyBorder="1"/>
    <xf numFmtId="4" fontId="20" fillId="0" borderId="1" xfId="0" applyNumberFormat="1" applyFont="1" applyBorder="1"/>
    <xf numFmtId="0" fontId="1" fillId="8" borderId="0" xfId="0" applyFont="1" applyFill="1"/>
    <xf numFmtId="0" fontId="5" fillId="8" borderId="0" xfId="0" applyFont="1" applyFill="1"/>
    <xf numFmtId="0" fontId="13" fillId="0" borderId="5" xfId="0" applyFont="1" applyFill="1" applyBorder="1" applyAlignment="1">
      <alignment horizontal="center" vertical="center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0" fontId="9" fillId="4" borderId="4" xfId="0" applyFont="1" applyFill="1" applyBorder="1" applyAlignment="1">
      <alignment vertical="center" wrapText="1" shrinkToFit="1"/>
    </xf>
    <xf numFmtId="0" fontId="11" fillId="3" borderId="1" xfId="0" applyFont="1" applyFill="1" applyBorder="1" applyAlignment="1">
      <alignment horizontal="center" vertical="center"/>
    </xf>
    <xf numFmtId="0" fontId="11" fillId="3" borderId="1" xfId="0" quotePrefix="1" applyFont="1" applyFill="1" applyBorder="1" applyAlignment="1">
      <alignment horizontal="center" vertical="center"/>
    </xf>
    <xf numFmtId="4" fontId="14" fillId="4" borderId="1" xfId="0" applyNumberFormat="1" applyFont="1" applyFill="1" applyBorder="1" applyAlignment="1">
      <alignment horizontal="center" vertical="center" wrapText="1" shrinkToFit="1"/>
    </xf>
    <xf numFmtId="4" fontId="14" fillId="3" borderId="1" xfId="0" applyNumberFormat="1" applyFont="1" applyFill="1" applyBorder="1" applyAlignment="1">
      <alignment horizontal="center" vertical="center" wrapText="1" shrinkToFit="1"/>
    </xf>
    <xf numFmtId="4" fontId="7" fillId="3" borderId="1" xfId="0" applyNumberFormat="1" applyFont="1" applyFill="1" applyBorder="1" applyAlignment="1">
      <alignment horizontal="center" vertical="center" wrapText="1" shrinkToFit="1"/>
    </xf>
    <xf numFmtId="0" fontId="22" fillId="3" borderId="1" xfId="0" applyFont="1" applyFill="1" applyBorder="1" applyAlignment="1">
      <alignment horizontal="center" vertical="center" wrapText="1" shrinkToFit="1"/>
    </xf>
    <xf numFmtId="0" fontId="11" fillId="3" borderId="1" xfId="0" quotePrefix="1" applyFont="1" applyFill="1" applyBorder="1" applyAlignment="1">
      <alignment horizontal="center" vertical="center" wrapText="1" shrinkToFit="1"/>
    </xf>
    <xf numFmtId="4" fontId="5" fillId="0" borderId="1" xfId="0" applyNumberFormat="1" applyFont="1" applyFill="1" applyBorder="1" applyAlignment="1">
      <alignment horizontal="center" vertical="center" wrapText="1" shrinkToFit="1"/>
    </xf>
    <xf numFmtId="4" fontId="7" fillId="0" borderId="1" xfId="0" applyNumberFormat="1" applyFont="1" applyBorder="1" applyAlignment="1">
      <alignment horizontal="center" vertical="center" wrapText="1" shrinkToFit="1"/>
    </xf>
    <xf numFmtId="4" fontId="9" fillId="3" borderId="1" xfId="0" applyNumberFormat="1" applyFont="1" applyFill="1" applyBorder="1" applyAlignment="1">
      <alignment horizontal="center" vertical="center" wrapText="1" shrinkToFit="1"/>
    </xf>
    <xf numFmtId="1" fontId="7" fillId="3" borderId="1" xfId="0" applyNumberFormat="1" applyFont="1" applyFill="1" applyBorder="1" applyAlignment="1">
      <alignment horizontal="center" vertical="center" wrapText="1" shrinkToFit="1"/>
    </xf>
    <xf numFmtId="1" fontId="14" fillId="4" borderId="1" xfId="0" applyNumberFormat="1" applyFont="1" applyFill="1" applyBorder="1" applyAlignment="1">
      <alignment horizontal="center" vertical="center" wrapText="1" shrinkToFit="1"/>
    </xf>
    <xf numFmtId="165" fontId="5" fillId="0" borderId="1" xfId="0" applyNumberFormat="1" applyFont="1" applyFill="1" applyBorder="1" applyAlignment="1">
      <alignment horizontal="center" vertical="center" wrapText="1" shrinkToFit="1"/>
    </xf>
    <xf numFmtId="9" fontId="11" fillId="0" borderId="1" xfId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wrapText="1"/>
    </xf>
    <xf numFmtId="0" fontId="5" fillId="0" borderId="2" xfId="0" applyFont="1" applyFill="1" applyBorder="1" applyAlignment="1">
      <alignment wrapText="1" shrinkToFit="1"/>
    </xf>
    <xf numFmtId="4" fontId="7" fillId="4" borderId="1" xfId="0" applyNumberFormat="1" applyFont="1" applyFill="1" applyBorder="1" applyAlignment="1">
      <alignment horizontal="center" vertical="center" wrapText="1" shrinkToFit="1"/>
    </xf>
    <xf numFmtId="0" fontId="13" fillId="9" borderId="1" xfId="0" applyFont="1" applyFill="1" applyBorder="1" applyAlignment="1">
      <alignment horizontal="center" vertical="center"/>
    </xf>
    <xf numFmtId="164" fontId="1" fillId="9" borderId="1" xfId="0" applyNumberFormat="1" applyFont="1" applyFill="1" applyBorder="1"/>
    <xf numFmtId="0" fontId="16" fillId="9" borderId="1" xfId="0" applyFont="1" applyFill="1" applyBorder="1" applyAlignment="1">
      <alignment horizontal="center" vertical="center"/>
    </xf>
    <xf numFmtId="0" fontId="1" fillId="9" borderId="5" xfId="0" applyFont="1" applyFill="1" applyBorder="1"/>
    <xf numFmtId="0" fontId="5" fillId="0" borderId="4" xfId="0" applyFont="1" applyFill="1" applyBorder="1" applyAlignment="1">
      <alignment wrapText="1" shrinkToFit="1"/>
    </xf>
    <xf numFmtId="0" fontId="5" fillId="0" borderId="1" xfId="0" applyFont="1" applyFill="1" applyBorder="1" applyAlignment="1">
      <alignment horizontal="left" vertical="center" wrapText="1" shrinkToFit="1"/>
    </xf>
    <xf numFmtId="4" fontId="5" fillId="0" borderId="4" xfId="0" applyNumberFormat="1" applyFont="1" applyFill="1" applyBorder="1" applyAlignment="1">
      <alignment horizontal="center" vertical="center" wrapText="1" shrinkToFit="1"/>
    </xf>
    <xf numFmtId="164" fontId="24" fillId="0" borderId="1" xfId="0" applyNumberFormat="1" applyFont="1" applyFill="1" applyBorder="1"/>
    <xf numFmtId="164" fontId="5" fillId="0" borderId="1" xfId="0" applyNumberFormat="1" applyFont="1" applyFill="1" applyBorder="1"/>
    <xf numFmtId="164" fontId="24" fillId="9" borderId="1" xfId="0" applyNumberFormat="1" applyFont="1" applyFill="1" applyBorder="1"/>
    <xf numFmtId="164" fontId="5" fillId="9" borderId="1" xfId="0" applyNumberFormat="1" applyFont="1" applyFill="1" applyBorder="1"/>
    <xf numFmtId="0" fontId="24" fillId="0" borderId="1" xfId="0" applyFont="1" applyBorder="1"/>
    <xf numFmtId="164" fontId="6" fillId="3" borderId="1" xfId="0" applyNumberFormat="1" applyFont="1" applyFill="1" applyBorder="1" applyAlignment="1">
      <alignment horizontal="center"/>
    </xf>
    <xf numFmtId="0" fontId="13" fillId="3" borderId="3" xfId="0" applyFont="1" applyFill="1" applyBorder="1" applyAlignment="1">
      <alignment vertical="center"/>
    </xf>
    <xf numFmtId="0" fontId="13" fillId="3" borderId="4" xfId="0" applyFont="1" applyFill="1" applyBorder="1" applyAlignment="1">
      <alignment vertical="center"/>
    </xf>
    <xf numFmtId="0" fontId="13" fillId="3" borderId="2" xfId="0" applyFont="1" applyFill="1" applyBorder="1" applyAlignment="1">
      <alignment vertical="center"/>
    </xf>
    <xf numFmtId="0" fontId="13" fillId="0" borderId="3" xfId="0" applyFont="1" applyFill="1" applyBorder="1" applyAlignment="1">
      <alignment vertical="center"/>
    </xf>
    <xf numFmtId="0" fontId="13" fillId="0" borderId="4" xfId="0" applyFont="1" applyFill="1" applyBorder="1" applyAlignment="1">
      <alignment vertical="center"/>
    </xf>
    <xf numFmtId="0" fontId="13" fillId="0" borderId="2" xfId="0" applyFont="1" applyFill="1" applyBorder="1" applyAlignment="1">
      <alignment vertical="center"/>
    </xf>
    <xf numFmtId="0" fontId="13" fillId="0" borderId="3" xfId="0" applyFont="1" applyBorder="1" applyAlignment="1">
      <alignment vertical="center"/>
    </xf>
    <xf numFmtId="0" fontId="13" fillId="0" borderId="4" xfId="0" applyFont="1" applyBorder="1" applyAlignment="1">
      <alignment vertical="center"/>
    </xf>
    <xf numFmtId="0" fontId="13" fillId="0" borderId="2" xfId="0" applyFont="1" applyBorder="1" applyAlignment="1">
      <alignment vertical="center"/>
    </xf>
    <xf numFmtId="49" fontId="5" fillId="0" borderId="0" xfId="0" quotePrefix="1" applyNumberFormat="1" applyFont="1" applyFill="1" applyBorder="1" applyAlignment="1">
      <alignment vertical="center" wrapText="1" shrinkToFit="1"/>
    </xf>
    <xf numFmtId="49" fontId="5" fillId="0" borderId="1" xfId="0" quotePrefix="1" applyNumberFormat="1" applyFont="1" applyFill="1" applyBorder="1" applyAlignment="1">
      <alignment vertical="center" wrapText="1" shrinkToFit="1"/>
    </xf>
    <xf numFmtId="1" fontId="11" fillId="0" borderId="2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1" fillId="0" borderId="1" xfId="0" quotePrefix="1" applyFont="1" applyFill="1" applyBorder="1" applyAlignment="1">
      <alignment horizontal="center" vertical="center"/>
    </xf>
    <xf numFmtId="0" fontId="11" fillId="0" borderId="3" xfId="0" applyFont="1" applyFill="1" applyBorder="1" applyAlignment="1">
      <alignment horizontal="center" vertical="center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4" fontId="1" fillId="0" borderId="0" xfId="0" applyNumberFormat="1" applyFont="1"/>
    <xf numFmtId="9" fontId="5" fillId="0" borderId="1" xfId="1" applyFont="1" applyFill="1" applyBorder="1" applyAlignment="1">
      <alignment horizontal="center" vertical="center" wrapText="1" shrinkToFit="1"/>
    </xf>
    <xf numFmtId="0" fontId="24" fillId="0" borderId="0" xfId="0" applyFont="1" applyFill="1"/>
    <xf numFmtId="0" fontId="16" fillId="0" borderId="5" xfId="0" applyFont="1" applyFill="1" applyBorder="1" applyAlignment="1">
      <alignment horizontal="center" vertical="center"/>
    </xf>
    <xf numFmtId="1" fontId="5" fillId="0" borderId="2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wrapText="1"/>
    </xf>
    <xf numFmtId="0" fontId="5" fillId="3" borderId="1" xfId="0" applyFont="1" applyFill="1" applyBorder="1" applyAlignment="1">
      <alignment horizontal="left" vertical="center" wrapText="1" shrinkToFit="1"/>
    </xf>
    <xf numFmtId="164" fontId="24" fillId="0" borderId="1" xfId="0" applyNumberFormat="1" applyFont="1" applyFill="1" applyBorder="1" applyAlignment="1"/>
    <xf numFmtId="0" fontId="24" fillId="0" borderId="0" xfId="0" applyFont="1"/>
    <xf numFmtId="0" fontId="24" fillId="3" borderId="0" xfId="0" applyFont="1" applyFill="1"/>
    <xf numFmtId="0" fontId="24" fillId="5" borderId="0" xfId="0" applyFont="1" applyFill="1"/>
    <xf numFmtId="164" fontId="24" fillId="0" borderId="3" xfId="0" applyNumberFormat="1" applyFont="1" applyFill="1" applyBorder="1" applyAlignment="1"/>
    <xf numFmtId="164" fontId="24" fillId="0" borderId="4" xfId="0" applyNumberFormat="1" applyFont="1" applyFill="1" applyBorder="1" applyAlignment="1"/>
    <xf numFmtId="164" fontId="24" fillId="0" borderId="2" xfId="0" applyNumberFormat="1" applyFont="1" applyFill="1" applyBorder="1" applyAlignment="1"/>
    <xf numFmtId="0" fontId="16" fillId="0" borderId="1" xfId="0" applyFont="1" applyBorder="1" applyAlignment="1">
      <alignment horizontal="center" vertical="center"/>
    </xf>
    <xf numFmtId="164" fontId="24" fillId="0" borderId="1" xfId="0" applyNumberFormat="1" applyFont="1" applyBorder="1"/>
    <xf numFmtId="0" fontId="5" fillId="3" borderId="1" xfId="0" quotePrefix="1" applyFont="1" applyFill="1" applyBorder="1" applyAlignment="1">
      <alignment horizontal="center" vertical="center"/>
    </xf>
    <xf numFmtId="0" fontId="5" fillId="3" borderId="1" xfId="0" applyFont="1" applyFill="1" applyBorder="1"/>
    <xf numFmtId="0" fontId="16" fillId="3" borderId="3" xfId="0" applyFont="1" applyFill="1" applyBorder="1" applyAlignment="1">
      <alignment vertical="center"/>
    </xf>
    <xf numFmtId="0" fontId="16" fillId="3" borderId="4" xfId="0" applyFont="1" applyFill="1" applyBorder="1" applyAlignment="1">
      <alignment vertical="center"/>
    </xf>
    <xf numFmtId="0" fontId="16" fillId="3" borderId="2" xfId="0" applyFont="1" applyFill="1" applyBorder="1" applyAlignment="1">
      <alignment vertical="center"/>
    </xf>
    <xf numFmtId="0" fontId="5" fillId="0" borderId="1" xfId="0" quotePrefix="1" applyFont="1" applyFill="1" applyBorder="1" applyAlignment="1">
      <alignment horizontal="center" vertical="center"/>
    </xf>
    <xf numFmtId="0" fontId="5" fillId="0" borderId="3" xfId="0" applyFont="1" applyFill="1" applyBorder="1" applyAlignment="1">
      <alignment horizontal="center" vertical="center"/>
    </xf>
    <xf numFmtId="0" fontId="16" fillId="0" borderId="3" xfId="0" applyFont="1" applyFill="1" applyBorder="1" applyAlignment="1">
      <alignment vertical="center"/>
    </xf>
    <xf numFmtId="0" fontId="16" fillId="0" borderId="4" xfId="0" applyFont="1" applyFill="1" applyBorder="1" applyAlignment="1">
      <alignment vertical="center"/>
    </xf>
    <xf numFmtId="0" fontId="16" fillId="0" borderId="2" xfId="0" applyFont="1" applyFill="1" applyBorder="1" applyAlignment="1">
      <alignment vertical="center"/>
    </xf>
    <xf numFmtId="0" fontId="5" fillId="0" borderId="0" xfId="0" applyFont="1" applyFill="1" applyAlignment="1">
      <alignment wrapText="1"/>
    </xf>
    <xf numFmtId="0" fontId="16" fillId="3" borderId="1" xfId="0" applyFont="1" applyFill="1" applyBorder="1" applyAlignment="1">
      <alignment horizontal="center" vertical="center"/>
    </xf>
    <xf numFmtId="164" fontId="24" fillId="3" borderId="1" xfId="0" applyNumberFormat="1" applyFont="1" applyFill="1" applyBorder="1"/>
    <xf numFmtId="0" fontId="5" fillId="3" borderId="1" xfId="0" applyFont="1" applyFill="1" applyBorder="1" applyAlignment="1">
      <alignment wrapText="1"/>
    </xf>
    <xf numFmtId="0" fontId="24" fillId="4" borderId="0" xfId="0" applyFont="1" applyFill="1"/>
    <xf numFmtId="0" fontId="24" fillId="8" borderId="0" xfId="0" applyFont="1" applyFill="1"/>
    <xf numFmtId="0" fontId="5" fillId="0" borderId="1" xfId="0" applyFont="1" applyFill="1" applyBorder="1" applyAlignment="1">
      <alignment horizontal="center" vertical="center" wrapText="1"/>
    </xf>
    <xf numFmtId="0" fontId="16" fillId="0" borderId="2" xfId="0" applyFont="1" applyFill="1" applyBorder="1" applyAlignment="1">
      <alignment horizontal="center" vertical="center"/>
    </xf>
    <xf numFmtId="0" fontId="16" fillId="0" borderId="3" xfId="0" applyFont="1" applyBorder="1" applyAlignment="1">
      <alignment vertical="center"/>
    </xf>
    <xf numFmtId="0" fontId="16" fillId="0" borderId="4" xfId="0" applyFont="1" applyBorder="1" applyAlignment="1">
      <alignment vertical="center"/>
    </xf>
    <xf numFmtId="0" fontId="16" fillId="0" borderId="2" xfId="0" applyFont="1" applyBorder="1" applyAlignment="1">
      <alignment vertical="center"/>
    </xf>
    <xf numFmtId="0" fontId="20" fillId="7" borderId="1" xfId="0" applyFont="1" applyFill="1" applyBorder="1" applyAlignment="1">
      <alignment horizontal="center" vertical="center"/>
    </xf>
    <xf numFmtId="4" fontId="24" fillId="0" borderId="0" xfId="0" applyNumberFormat="1" applyFont="1" applyFill="1"/>
    <xf numFmtId="0" fontId="18" fillId="10" borderId="0" xfId="0" applyFont="1" applyFill="1"/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0" fillId="0" borderId="0" xfId="0" applyFont="1" applyFill="1"/>
    <xf numFmtId="164" fontId="26" fillId="0" borderId="1" xfId="0" applyNumberFormat="1" applyFont="1" applyFill="1" applyBorder="1"/>
    <xf numFmtId="0" fontId="16" fillId="9" borderId="5" xfId="0" applyFont="1" applyFill="1" applyBorder="1" applyAlignment="1">
      <alignment horizontal="center" vertical="center"/>
    </xf>
    <xf numFmtId="1" fontId="5" fillId="9" borderId="1" xfId="0" applyNumberFormat="1" applyFont="1" applyFill="1" applyBorder="1" applyAlignment="1">
      <alignment horizontal="center" vertical="center" wrapText="1" shrinkToFit="1"/>
    </xf>
    <xf numFmtId="0" fontId="5" fillId="9" borderId="1" xfId="0" applyFont="1" applyFill="1" applyBorder="1"/>
    <xf numFmtId="165" fontId="5" fillId="9" borderId="1" xfId="0" applyNumberFormat="1" applyFont="1" applyFill="1" applyBorder="1" applyAlignment="1">
      <alignment horizontal="center" vertical="center" wrapText="1" shrinkToFit="1"/>
    </xf>
    <xf numFmtId="4" fontId="5" fillId="9" borderId="1" xfId="0" applyNumberFormat="1" applyFont="1" applyFill="1" applyBorder="1" applyAlignment="1">
      <alignment horizontal="center" vertical="center" wrapText="1" shrinkToFit="1"/>
    </xf>
    <xf numFmtId="164" fontId="19" fillId="0" borderId="5" xfId="0" applyNumberFormat="1" applyFont="1" applyFill="1" applyBorder="1"/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8" fillId="0" borderId="0" xfId="0" applyFont="1" applyFill="1"/>
    <xf numFmtId="1" fontId="19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49" fontId="27" fillId="0" borderId="1" xfId="0" applyNumberFormat="1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vertical="center" wrapText="1" shrinkToFit="1"/>
    </xf>
    <xf numFmtId="0" fontId="27" fillId="0" borderId="1" xfId="0" applyFont="1" applyFill="1" applyBorder="1" applyAlignment="1">
      <alignment horizontal="center" wrapText="1"/>
    </xf>
    <xf numFmtId="2" fontId="27" fillId="0" borderId="1" xfId="0" applyNumberFormat="1" applyFont="1" applyFill="1" applyBorder="1" applyAlignment="1">
      <alignment horizontal="left" vertical="center" wrapText="1" shrinkToFit="1"/>
    </xf>
    <xf numFmtId="1" fontId="27" fillId="0" borderId="1" xfId="0" applyNumberFormat="1" applyFont="1" applyFill="1" applyBorder="1" applyAlignment="1">
      <alignment horizontal="center" vertical="center" wrapText="1" shrinkToFit="1"/>
    </xf>
    <xf numFmtId="4" fontId="27" fillId="0" borderId="1" xfId="0" applyNumberFormat="1" applyFont="1" applyFill="1" applyBorder="1" applyAlignment="1">
      <alignment horizontal="center" vertical="center" wrapText="1" shrinkToFit="1"/>
    </xf>
    <xf numFmtId="9" fontId="27" fillId="0" borderId="1" xfId="1" applyFont="1" applyFill="1" applyBorder="1" applyAlignment="1">
      <alignment horizontal="center" vertical="center" wrapText="1" shrinkToFit="1"/>
    </xf>
    <xf numFmtId="0" fontId="28" fillId="0" borderId="1" xfId="0" applyFont="1" applyFill="1" applyBorder="1" applyAlignment="1">
      <alignment horizontal="center" vertical="center"/>
    </xf>
    <xf numFmtId="164" fontId="29" fillId="0" borderId="1" xfId="0" applyNumberFormat="1" applyFont="1" applyFill="1" applyBorder="1"/>
    <xf numFmtId="0" fontId="29" fillId="0" borderId="0" xfId="0" applyFont="1" applyFill="1"/>
    <xf numFmtId="4" fontId="5" fillId="0" borderId="0" xfId="0" applyNumberFormat="1" applyFont="1" applyFill="1"/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164" fontId="18" fillId="9" borderId="1" xfId="0" applyNumberFormat="1" applyFont="1" applyFill="1" applyBorder="1"/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4" fontId="5" fillId="0" borderId="5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vertical="center" wrapText="1" shrinkToFit="1"/>
    </xf>
    <xf numFmtId="164" fontId="24" fillId="0" borderId="5" xfId="0" applyNumberFormat="1" applyFont="1" applyFill="1" applyBorder="1"/>
    <xf numFmtId="0" fontId="14" fillId="2" borderId="7" xfId="0" applyNumberFormat="1" applyFont="1" applyFill="1" applyBorder="1" applyAlignment="1" applyProtection="1">
      <alignment horizontal="center" vertical="center" wrapText="1"/>
    </xf>
    <xf numFmtId="0" fontId="5" fillId="3" borderId="7" xfId="0" applyFont="1" applyFill="1" applyBorder="1" applyAlignment="1">
      <alignment horizontal="left" vertical="center" wrapText="1" shrinkToFit="1"/>
    </xf>
    <xf numFmtId="1" fontId="14" fillId="3" borderId="7" xfId="0" applyNumberFormat="1" applyFont="1" applyFill="1" applyBorder="1" applyAlignment="1">
      <alignment horizontal="center" vertical="center" wrapText="1" shrinkToFit="1"/>
    </xf>
    <xf numFmtId="4" fontId="14" fillId="3" borderId="7" xfId="0" applyNumberFormat="1" applyFont="1" applyFill="1" applyBorder="1" applyAlignment="1">
      <alignment horizontal="center" vertical="center" wrapText="1" shrinkToFit="1"/>
    </xf>
    <xf numFmtId="4" fontId="24" fillId="0" borderId="1" xfId="0" applyNumberFormat="1" applyFont="1" applyFill="1" applyBorder="1"/>
    <xf numFmtId="0" fontId="24" fillId="0" borderId="1" xfId="0" applyFont="1" applyFill="1" applyBorder="1"/>
    <xf numFmtId="164" fontId="10" fillId="0" borderId="1" xfId="0" applyNumberFormat="1" applyFont="1" applyFill="1" applyBorder="1"/>
    <xf numFmtId="49" fontId="5" fillId="0" borderId="5" xfId="0" quotePrefix="1" applyNumberFormat="1" applyFont="1" applyFill="1" applyBorder="1" applyAlignment="1">
      <alignment horizontal="center" vertical="center" wrapText="1" shrinkToFit="1"/>
    </xf>
    <xf numFmtId="49" fontId="5" fillId="0" borderId="7" xfId="0" quotePrefix="1" applyNumberFormat="1" applyFont="1" applyFill="1" applyBorder="1" applyAlignment="1">
      <alignment horizontal="center" vertical="center" wrapText="1" shrinkToFit="1"/>
    </xf>
    <xf numFmtId="0" fontId="5" fillId="0" borderId="5" xfId="0" quotePrefix="1" applyFont="1" applyFill="1" applyBorder="1" applyAlignment="1">
      <alignment horizontal="center" vertical="center" wrapText="1" shrinkToFit="1"/>
    </xf>
    <xf numFmtId="0" fontId="5" fillId="0" borderId="7" xfId="0" quotePrefix="1" applyFont="1" applyFill="1" applyBorder="1" applyAlignment="1">
      <alignment horizontal="center" vertical="center" wrapText="1" shrinkToFit="1"/>
    </xf>
    <xf numFmtId="49" fontId="5" fillId="0" borderId="5" xfId="0" applyNumberFormat="1" applyFont="1" applyFill="1" applyBorder="1" applyAlignment="1">
      <alignment horizontal="center" vertical="center" wrapText="1" shrinkToFit="1"/>
    </xf>
    <xf numFmtId="49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 shrinkToFit="1"/>
    </xf>
    <xf numFmtId="0" fontId="5" fillId="0" borderId="7" xfId="0" applyFont="1" applyFill="1" applyBorder="1" applyAlignment="1">
      <alignment horizontal="center" vertical="center" wrapText="1" shrinkToFit="1"/>
    </xf>
    <xf numFmtId="49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5" xfId="0" applyNumberFormat="1" applyFont="1" applyFill="1" applyBorder="1" applyAlignment="1">
      <alignment horizontal="center" vertical="center" wrapText="1" shrinkToFit="1"/>
    </xf>
    <xf numFmtId="1" fontId="5" fillId="0" borderId="6" xfId="0" applyNumberFormat="1" applyFont="1" applyFill="1" applyBorder="1" applyAlignment="1">
      <alignment horizontal="center" vertical="center" wrapText="1" shrinkToFit="1"/>
    </xf>
    <xf numFmtId="1" fontId="5" fillId="0" borderId="7" xfId="0" applyNumberFormat="1" applyFont="1" applyFill="1" applyBorder="1" applyAlignment="1">
      <alignment horizontal="center" vertical="center" wrapText="1" shrinkToFit="1"/>
    </xf>
    <xf numFmtId="2" fontId="5" fillId="0" borderId="5" xfId="0" applyNumberFormat="1" applyFont="1" applyFill="1" applyBorder="1" applyAlignment="1">
      <alignment horizontal="center" vertical="center" wrapText="1" shrinkToFit="1"/>
    </xf>
    <xf numFmtId="2" fontId="5" fillId="0" borderId="6" xfId="0" applyNumberFormat="1" applyFont="1" applyFill="1" applyBorder="1" applyAlignment="1">
      <alignment horizontal="center" vertical="center" wrapText="1" shrinkToFit="1"/>
    </xf>
    <xf numFmtId="2" fontId="5" fillId="0" borderId="7" xfId="0" applyNumberFormat="1" applyFont="1" applyFill="1" applyBorder="1" applyAlignment="1">
      <alignment horizontal="center" vertical="center" wrapText="1" shrinkToFit="1"/>
    </xf>
    <xf numFmtId="0" fontId="5" fillId="0" borderId="6" xfId="0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 wrapText="1"/>
    </xf>
    <xf numFmtId="0" fontId="5" fillId="0" borderId="7" xfId="0" applyFont="1" applyFill="1" applyBorder="1" applyAlignment="1">
      <alignment horizontal="center" vertical="center" wrapText="1"/>
    </xf>
    <xf numFmtId="1" fontId="14" fillId="4" borderId="3" xfId="0" applyNumberFormat="1" applyFont="1" applyFill="1" applyBorder="1" applyAlignment="1">
      <alignment horizontal="center" vertical="center" wrapText="1" shrinkToFit="1"/>
    </xf>
    <xf numFmtId="1" fontId="14" fillId="4" borderId="4" xfId="0" applyNumberFormat="1" applyFont="1" applyFill="1" applyBorder="1" applyAlignment="1">
      <alignment horizontal="center" vertical="center" wrapText="1" shrinkToFit="1"/>
    </xf>
    <xf numFmtId="1" fontId="14" fillId="4" borderId="2" xfId="0" applyNumberFormat="1" applyFont="1" applyFill="1" applyBorder="1" applyAlignment="1">
      <alignment horizontal="center" vertical="center" wrapText="1" shrinkToFit="1"/>
    </xf>
    <xf numFmtId="49" fontId="25" fillId="0" borderId="3" xfId="0" quotePrefix="1" applyNumberFormat="1" applyFont="1" applyFill="1" applyBorder="1" applyAlignment="1">
      <alignment horizontal="center" vertical="center" wrapText="1" shrinkToFit="1"/>
    </xf>
    <xf numFmtId="49" fontId="25" fillId="0" borderId="4" xfId="0" quotePrefix="1" applyNumberFormat="1" applyFont="1" applyFill="1" applyBorder="1" applyAlignment="1">
      <alignment horizontal="center" vertical="center" wrapText="1" shrinkToFit="1"/>
    </xf>
    <xf numFmtId="49" fontId="25" fillId="0" borderId="2" xfId="0" quotePrefix="1" applyNumberFormat="1" applyFont="1" applyFill="1" applyBorder="1" applyAlignment="1">
      <alignment horizontal="center" vertical="center" wrapText="1" shrinkToFit="1"/>
    </xf>
    <xf numFmtId="49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 shrinkToFit="1"/>
    </xf>
    <xf numFmtId="49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 wrapText="1" shrinkToFit="1"/>
    </xf>
    <xf numFmtId="49" fontId="5" fillId="3" borderId="3" xfId="0" applyNumberFormat="1" applyFont="1" applyFill="1" applyBorder="1" applyAlignment="1">
      <alignment horizontal="center" vertical="center" wrapText="1" shrinkToFit="1"/>
    </xf>
    <xf numFmtId="49" fontId="5" fillId="3" borderId="4" xfId="0" applyNumberFormat="1" applyFont="1" applyFill="1" applyBorder="1" applyAlignment="1">
      <alignment horizontal="center" vertical="center" wrapText="1" shrinkToFit="1"/>
    </xf>
    <xf numFmtId="49" fontId="5" fillId="3" borderId="2" xfId="0" applyNumberFormat="1" applyFont="1" applyFill="1" applyBorder="1" applyAlignment="1">
      <alignment horizontal="center" vertical="center" wrapText="1" shrinkToFit="1"/>
    </xf>
    <xf numFmtId="2" fontId="5" fillId="0" borderId="1" xfId="0" applyNumberFormat="1" applyFont="1" applyFill="1" applyBorder="1" applyAlignment="1">
      <alignment horizontal="center" vertical="center" wrapText="1" shrinkToFit="1"/>
    </xf>
    <xf numFmtId="0" fontId="13" fillId="0" borderId="0" xfId="0" applyFont="1" applyAlignment="1">
      <alignment horizontal="center"/>
    </xf>
    <xf numFmtId="49" fontId="21" fillId="0" borderId="3" xfId="0" applyNumberFormat="1" applyFont="1" applyFill="1" applyBorder="1" applyAlignment="1">
      <alignment horizontal="center" vertical="center" wrapText="1" shrinkToFit="1"/>
    </xf>
    <xf numFmtId="49" fontId="21" fillId="0" borderId="4" xfId="0" applyNumberFormat="1" applyFont="1" applyFill="1" applyBorder="1" applyAlignment="1">
      <alignment horizontal="center" vertical="center" wrapText="1" shrinkToFit="1"/>
    </xf>
    <xf numFmtId="49" fontId="21" fillId="0" borderId="2" xfId="0" applyNumberFormat="1" applyFont="1" applyFill="1" applyBorder="1" applyAlignment="1">
      <alignment horizontal="center" vertical="center" wrapText="1" shrinkToFit="1"/>
    </xf>
    <xf numFmtId="0" fontId="11" fillId="3" borderId="3" xfId="0" quotePrefix="1" applyFont="1" applyFill="1" applyBorder="1" applyAlignment="1">
      <alignment horizontal="center" vertical="center"/>
    </xf>
    <xf numFmtId="0" fontId="11" fillId="3" borderId="4" xfId="0" quotePrefix="1" applyFont="1" applyFill="1" applyBorder="1" applyAlignment="1">
      <alignment horizontal="center" vertical="center"/>
    </xf>
    <xf numFmtId="0" fontId="11" fillId="3" borderId="2" xfId="0" quotePrefix="1" applyFont="1" applyFill="1" applyBorder="1" applyAlignment="1">
      <alignment horizontal="center" vertical="center"/>
    </xf>
    <xf numFmtId="0" fontId="5" fillId="3" borderId="11" xfId="0" quotePrefix="1" applyFont="1" applyFill="1" applyBorder="1" applyAlignment="1">
      <alignment horizontal="center" vertical="center"/>
    </xf>
    <xf numFmtId="0" fontId="5" fillId="3" borderId="8" xfId="0" quotePrefix="1" applyFont="1" applyFill="1" applyBorder="1" applyAlignment="1">
      <alignment horizontal="center" vertical="center"/>
    </xf>
    <xf numFmtId="0" fontId="5" fillId="3" borderId="12" xfId="0" quotePrefix="1" applyFont="1" applyFill="1" applyBorder="1" applyAlignment="1">
      <alignment horizontal="center" vertical="center"/>
    </xf>
    <xf numFmtId="49" fontId="5" fillId="0" borderId="6" xfId="0" quotePrefix="1" applyNumberFormat="1" applyFont="1" applyFill="1" applyBorder="1" applyAlignment="1">
      <alignment horizontal="center" vertical="center" wrapText="1" shrinkToFit="1"/>
    </xf>
    <xf numFmtId="0" fontId="5" fillId="0" borderId="6" xfId="0" quotePrefix="1" applyFont="1" applyFill="1" applyBorder="1" applyAlignment="1">
      <alignment horizontal="center" vertical="center" wrapText="1" shrinkToFit="1"/>
    </xf>
    <xf numFmtId="49" fontId="25" fillId="0" borderId="8" xfId="0" quotePrefix="1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 shrinkToFit="1"/>
    </xf>
    <xf numFmtId="49" fontId="11" fillId="0" borderId="1" xfId="0" applyNumberFormat="1" applyFont="1" applyFill="1" applyBorder="1" applyAlignment="1">
      <alignment horizontal="center" vertical="center" wrapText="1" shrinkToFit="1"/>
    </xf>
    <xf numFmtId="0" fontId="11" fillId="0" borderId="1" xfId="0" applyFont="1" applyFill="1" applyBorder="1" applyAlignment="1">
      <alignment horizontal="center" vertical="center" wrapText="1"/>
    </xf>
    <xf numFmtId="1" fontId="5" fillId="0" borderId="6" xfId="0" quotePrefix="1" applyNumberFormat="1" applyFont="1" applyFill="1" applyBorder="1" applyAlignment="1">
      <alignment horizontal="center" vertical="center" wrapText="1" shrinkToFit="1"/>
    </xf>
    <xf numFmtId="1" fontId="5" fillId="0" borderId="7" xfId="0" quotePrefix="1" applyNumberFormat="1" applyFont="1" applyFill="1" applyBorder="1" applyAlignment="1">
      <alignment horizontal="center" vertical="center" wrapText="1" shrinkToFit="1"/>
    </xf>
    <xf numFmtId="49" fontId="25" fillId="0" borderId="12" xfId="0" quotePrefix="1" applyNumberFormat="1" applyFont="1" applyFill="1" applyBorder="1" applyAlignment="1">
      <alignment horizontal="center" vertical="center" wrapText="1" shrinkToFit="1"/>
    </xf>
    <xf numFmtId="0" fontId="7" fillId="0" borderId="0" xfId="0" applyFont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/>
    </xf>
    <xf numFmtId="0" fontId="5" fillId="0" borderId="7" xfId="0" applyFont="1" applyFill="1" applyBorder="1" applyAlignment="1">
      <alignment horizontal="center" vertical="center"/>
    </xf>
    <xf numFmtId="0" fontId="9" fillId="4" borderId="3" xfId="0" applyFont="1" applyFill="1" applyBorder="1" applyAlignment="1">
      <alignment horizontal="center" vertical="center" wrapText="1" shrinkToFit="1"/>
    </xf>
    <xf numFmtId="0" fontId="9" fillId="4" borderId="4" xfId="0" applyFont="1" applyFill="1" applyBorder="1" applyAlignment="1">
      <alignment horizontal="center" vertical="center" wrapText="1" shrinkToFit="1"/>
    </xf>
    <xf numFmtId="0" fontId="5" fillId="0" borderId="1" xfId="0" applyFont="1" applyFill="1" applyBorder="1" applyAlignment="1">
      <alignment horizontal="center" vertical="center"/>
    </xf>
    <xf numFmtId="0" fontId="5" fillId="0" borderId="5" xfId="0" quotePrefix="1" applyFont="1" applyFill="1" applyBorder="1" applyAlignment="1">
      <alignment horizontal="center" vertical="center" wrapText="1"/>
    </xf>
    <xf numFmtId="0" fontId="5" fillId="0" borderId="6" xfId="0" quotePrefix="1" applyFont="1" applyFill="1" applyBorder="1" applyAlignment="1">
      <alignment horizontal="center" vertical="center" wrapText="1"/>
    </xf>
    <xf numFmtId="0" fontId="5" fillId="0" borderId="7" xfId="0" quotePrefix="1" applyFont="1" applyFill="1" applyBorder="1" applyAlignment="1">
      <alignment horizontal="center" vertical="center" wrapText="1"/>
    </xf>
    <xf numFmtId="0" fontId="5" fillId="0" borderId="6" xfId="0" applyFont="1" applyFill="1" applyBorder="1" applyAlignment="1">
      <alignment horizontal="center" vertical="center"/>
    </xf>
    <xf numFmtId="0" fontId="16" fillId="0" borderId="11" xfId="0" applyFont="1" applyFill="1" applyBorder="1" applyAlignment="1">
      <alignment horizontal="center" vertical="center"/>
    </xf>
    <xf numFmtId="0" fontId="16" fillId="0" borderId="8" xfId="0" applyFont="1" applyFill="1" applyBorder="1" applyAlignment="1">
      <alignment horizontal="center" vertical="center"/>
    </xf>
    <xf numFmtId="0" fontId="16" fillId="0" borderId="12" xfId="0" applyFont="1" applyFill="1" applyBorder="1" applyAlignment="1">
      <alignment horizontal="center" vertical="center"/>
    </xf>
    <xf numFmtId="4" fontId="5" fillId="0" borderId="5" xfId="0" applyNumberFormat="1" applyFont="1" applyFill="1" applyBorder="1" applyAlignment="1">
      <alignment horizontal="center" vertical="center" wrapText="1" shrinkToFit="1"/>
    </xf>
    <xf numFmtId="4" fontId="5" fillId="0" borderId="7" xfId="0" applyNumberFormat="1" applyFont="1" applyFill="1" applyBorder="1" applyAlignment="1">
      <alignment horizontal="center" vertical="center" wrapText="1" shrinkToFit="1"/>
    </xf>
    <xf numFmtId="9" fontId="5" fillId="0" borderId="5" xfId="1" applyFont="1" applyFill="1" applyBorder="1" applyAlignment="1">
      <alignment horizontal="center" vertical="center" wrapText="1" shrinkToFit="1"/>
    </xf>
    <xf numFmtId="9" fontId="5" fillId="0" borderId="7" xfId="1" applyFont="1" applyFill="1" applyBorder="1" applyAlignment="1">
      <alignment horizontal="center" vertical="center" wrapText="1" shrinkToFit="1"/>
    </xf>
    <xf numFmtId="0" fontId="5" fillId="0" borderId="5" xfId="0" applyFont="1" applyFill="1" applyBorder="1" applyAlignment="1">
      <alignment horizontal="left" vertical="center" wrapText="1" shrinkToFit="1"/>
    </xf>
    <xf numFmtId="0" fontId="5" fillId="0" borderId="7" xfId="0" applyFont="1" applyFill="1" applyBorder="1" applyAlignment="1">
      <alignment horizontal="left" vertical="center" wrapText="1" shrinkToFi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3" xfId="0" applyFont="1" applyFill="1" applyBorder="1" applyAlignment="1">
      <alignment horizontal="center"/>
    </xf>
    <xf numFmtId="0" fontId="5" fillId="0" borderId="4" xfId="0" applyFont="1" applyFill="1" applyBorder="1" applyAlignment="1">
      <alignment horizontal="center"/>
    </xf>
    <xf numFmtId="0" fontId="5" fillId="0" borderId="2" xfId="0" applyFont="1" applyFill="1" applyBorder="1" applyAlignment="1">
      <alignment horizontal="center"/>
    </xf>
    <xf numFmtId="1" fontId="5" fillId="0" borderId="1" xfId="0" quotePrefix="1" applyNumberFormat="1" applyFont="1" applyFill="1" applyBorder="1" applyAlignment="1">
      <alignment horizontal="center" vertical="center" wrapText="1" shrinkToFit="1"/>
    </xf>
    <xf numFmtId="0" fontId="5" fillId="0" borderId="1" xfId="0" quotePrefix="1" applyFont="1" applyFill="1" applyBorder="1" applyAlignment="1">
      <alignment horizontal="center" vertical="center" wrapText="1"/>
    </xf>
    <xf numFmtId="0" fontId="5" fillId="0" borderId="1" xfId="0" applyFont="1" applyFill="1" applyBorder="1" applyAlignment="1">
      <alignment horizontal="center" vertical="center" wrapText="1"/>
    </xf>
    <xf numFmtId="1" fontId="5" fillId="0" borderId="1" xfId="0" applyNumberFormat="1" applyFont="1" applyFill="1" applyBorder="1" applyAlignment="1">
      <alignment horizontal="center" vertical="center" wrapText="1" shrinkToFit="1"/>
    </xf>
    <xf numFmtId="0" fontId="5" fillId="0" borderId="1" xfId="0" applyNumberFormat="1" applyFont="1" applyFill="1" applyBorder="1" applyAlignment="1" applyProtection="1">
      <alignment horizontal="center" vertical="center" wrapText="1"/>
    </xf>
    <xf numFmtId="0" fontId="14" fillId="0" borderId="0" xfId="0" applyNumberFormat="1" applyFont="1" applyFill="1" applyAlignment="1" applyProtection="1">
      <alignment horizontal="left" vertical="center" wrapText="1"/>
    </xf>
    <xf numFmtId="0" fontId="6" fillId="0" borderId="0" xfId="0" applyFont="1"/>
    <xf numFmtId="0" fontId="6" fillId="0" borderId="0" xfId="0" applyFont="1" applyBorder="1"/>
    <xf numFmtId="0" fontId="2" fillId="0" borderId="0" xfId="0" applyFont="1" applyBorder="1" applyAlignment="1">
      <alignment horizontal="center"/>
    </xf>
    <xf numFmtId="0" fontId="2" fillId="0" borderId="0" xfId="0" applyFont="1" applyBorder="1" applyAlignment="1">
      <alignment horizontal="center"/>
    </xf>
    <xf numFmtId="4" fontId="6" fillId="0" borderId="0" xfId="0" applyNumberFormat="1" applyFont="1" applyBorder="1" applyAlignment="1">
      <alignment horizontal="right"/>
    </xf>
  </cellXfs>
  <cellStyles count="2">
    <cellStyle name="Відсотковий" xfId="1" builtinId="5"/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Z292"/>
  <sheetViews>
    <sheetView tabSelected="1" view="pageBreakPreview" topLeftCell="A272" zoomScale="70" zoomScaleNormal="75" zoomScaleSheetLayoutView="70" workbookViewId="0">
      <selection activeCell="A286" sqref="A286:XFD286"/>
    </sheetView>
  </sheetViews>
  <sheetFormatPr defaultColWidth="8.85546875" defaultRowHeight="12.75" x14ac:dyDescent="0.2"/>
  <cols>
    <col min="1" max="1" width="11" style="1" customWidth="1"/>
    <col min="2" max="2" width="10.7109375" style="1" customWidth="1"/>
    <col min="3" max="3" width="12.5703125" style="1" customWidth="1"/>
    <col min="4" max="4" width="59" style="1" customWidth="1"/>
    <col min="5" max="5" width="113.5703125" style="1" customWidth="1"/>
    <col min="6" max="6" width="12.5703125" style="1" customWidth="1"/>
    <col min="7" max="8" width="17.28515625" style="1" customWidth="1"/>
    <col min="9" max="9" width="18.85546875" style="4" customWidth="1"/>
    <col min="10" max="10" width="11.7109375" style="1" customWidth="1"/>
    <col min="11" max="11" width="33.140625" style="1" customWidth="1"/>
    <col min="12" max="12" width="29" style="1" customWidth="1"/>
    <col min="13" max="13" width="27.140625" style="1" customWidth="1"/>
    <col min="14" max="14" width="14.5703125" style="1" customWidth="1"/>
    <col min="15" max="15" width="12.28515625" style="1" customWidth="1"/>
    <col min="16" max="16" width="11.28515625" style="1" bestFit="1" customWidth="1"/>
    <col min="17" max="16384" width="8.85546875" style="1"/>
  </cols>
  <sheetData>
    <row r="1" spans="1:14" ht="15.75" x14ac:dyDescent="0.2">
      <c r="G1" s="341" t="s">
        <v>0</v>
      </c>
      <c r="H1" s="341"/>
      <c r="I1" s="341"/>
      <c r="J1" s="341"/>
    </row>
    <row r="2" spans="1:14" ht="90" customHeight="1" x14ac:dyDescent="0.3">
      <c r="D2" s="18"/>
      <c r="G2" s="373" t="s">
        <v>378</v>
      </c>
      <c r="H2" s="373"/>
      <c r="I2" s="373"/>
      <c r="J2" s="373"/>
    </row>
    <row r="3" spans="1:14" s="2" customFormat="1" ht="23.25" customHeight="1" x14ac:dyDescent="0.2">
      <c r="A3" s="343" t="s">
        <v>1</v>
      </c>
      <c r="B3" s="343"/>
      <c r="C3" s="343"/>
      <c r="D3" s="343"/>
      <c r="E3" s="343"/>
      <c r="F3" s="343"/>
      <c r="G3" s="343"/>
      <c r="H3" s="343"/>
      <c r="I3" s="343"/>
      <c r="J3" s="343"/>
      <c r="K3" s="11"/>
      <c r="L3" s="11"/>
    </row>
    <row r="4" spans="1:14" s="2" customFormat="1" ht="24.75" customHeight="1" x14ac:dyDescent="0.2">
      <c r="A4" s="342" t="s">
        <v>178</v>
      </c>
      <c r="B4" s="342"/>
      <c r="C4" s="342"/>
      <c r="D4" s="342"/>
      <c r="E4" s="342"/>
      <c r="F4" s="342"/>
      <c r="G4" s="342"/>
      <c r="H4" s="342"/>
      <c r="I4" s="342"/>
      <c r="J4" s="342"/>
      <c r="K4" s="11"/>
      <c r="L4" s="11"/>
    </row>
    <row r="5" spans="1:14" ht="93.75" customHeight="1" x14ac:dyDescent="0.2">
      <c r="A5" s="12" t="s">
        <v>180</v>
      </c>
      <c r="B5" s="12" t="s">
        <v>181</v>
      </c>
      <c r="C5" s="12" t="s">
        <v>3</v>
      </c>
      <c r="D5" s="12" t="s">
        <v>182</v>
      </c>
      <c r="E5" s="12" t="s">
        <v>183</v>
      </c>
      <c r="F5" s="12" t="s">
        <v>184</v>
      </c>
      <c r="G5" s="12" t="s">
        <v>185</v>
      </c>
      <c r="H5" s="12" t="s">
        <v>175</v>
      </c>
      <c r="I5" s="12" t="s">
        <v>186</v>
      </c>
      <c r="J5" s="13" t="s">
        <v>177</v>
      </c>
      <c r="K5" s="14"/>
      <c r="L5" s="14"/>
    </row>
    <row r="6" spans="1:14" ht="19.5" x14ac:dyDescent="0.35">
      <c r="A6" s="13">
        <v>1</v>
      </c>
      <c r="B6" s="13">
        <v>2</v>
      </c>
      <c r="C6" s="13">
        <v>3</v>
      </c>
      <c r="D6" s="13">
        <v>4</v>
      </c>
      <c r="E6" s="13">
        <v>5</v>
      </c>
      <c r="F6" s="13">
        <v>6</v>
      </c>
      <c r="G6" s="13">
        <v>7</v>
      </c>
      <c r="H6" s="13">
        <v>8</v>
      </c>
      <c r="I6" s="13">
        <v>9</v>
      </c>
      <c r="J6" s="13">
        <v>10</v>
      </c>
      <c r="K6" s="49" t="s">
        <v>139</v>
      </c>
      <c r="L6" s="49" t="s">
        <v>73</v>
      </c>
      <c r="M6" s="55" t="s">
        <v>138</v>
      </c>
    </row>
    <row r="7" spans="1:14" s="16" customFormat="1" ht="20.25" customHeight="1" x14ac:dyDescent="0.3">
      <c r="A7" s="346" t="s">
        <v>12</v>
      </c>
      <c r="B7" s="347"/>
      <c r="C7" s="347"/>
      <c r="D7" s="347"/>
      <c r="E7" s="347"/>
      <c r="F7" s="77"/>
      <c r="G7" s="17"/>
      <c r="H7" s="17"/>
      <c r="I7" s="97">
        <f>I8+I33+I36+I53+I68+I103+I61+I109+I66+I64+I100</f>
        <v>236869058</v>
      </c>
      <c r="J7" s="10"/>
      <c r="K7" s="65"/>
      <c r="L7" s="67">
        <f>SUM(L10:L110)</f>
        <v>163842607.19000003</v>
      </c>
      <c r="M7" s="68">
        <f>I7-L7</f>
        <v>73026450.809999973</v>
      </c>
    </row>
    <row r="8" spans="1:14" s="5" customFormat="1" ht="15.75" x14ac:dyDescent="0.2">
      <c r="A8" s="84" t="s">
        <v>172</v>
      </c>
      <c r="B8" s="83"/>
      <c r="C8" s="83"/>
      <c r="D8" s="35" t="s">
        <v>9</v>
      </c>
      <c r="E8" s="8"/>
      <c r="F8" s="8" t="s">
        <v>7</v>
      </c>
      <c r="G8" s="87" t="s">
        <v>7</v>
      </c>
      <c r="H8" s="87" t="s">
        <v>176</v>
      </c>
      <c r="I8" s="82">
        <f>SUM(I9:I30)+I32</f>
        <v>42046317.829999998</v>
      </c>
      <c r="J8" s="9" t="s">
        <v>7</v>
      </c>
      <c r="K8" s="66"/>
      <c r="L8" s="110"/>
      <c r="M8" s="66"/>
    </row>
    <row r="9" spans="1:14" s="137" customFormat="1" ht="64.5" customHeight="1" x14ac:dyDescent="0.2">
      <c r="A9" s="231" t="s">
        <v>8</v>
      </c>
      <c r="B9" s="44" t="s">
        <v>15</v>
      </c>
      <c r="C9" s="225" t="s">
        <v>16</v>
      </c>
      <c r="D9" s="230" t="s">
        <v>17</v>
      </c>
      <c r="E9" s="15" t="s">
        <v>353</v>
      </c>
      <c r="F9" s="224">
        <v>2021</v>
      </c>
      <c r="G9" s="85">
        <v>0</v>
      </c>
      <c r="H9" s="136">
        <v>0</v>
      </c>
      <c r="I9" s="85">
        <v>49900</v>
      </c>
      <c r="J9" s="224"/>
      <c r="K9" s="58">
        <v>2218</v>
      </c>
      <c r="L9" s="62">
        <v>49900</v>
      </c>
      <c r="M9" s="105">
        <f t="shared" ref="M9" si="0">I9-L9</f>
        <v>0</v>
      </c>
    </row>
    <row r="10" spans="1:14" s="137" customFormat="1" ht="18.75" x14ac:dyDescent="0.2">
      <c r="A10" s="196" t="s">
        <v>11</v>
      </c>
      <c r="B10" s="37">
        <v>6030</v>
      </c>
      <c r="C10" s="196" t="s">
        <v>18</v>
      </c>
      <c r="D10" s="200" t="s">
        <v>19</v>
      </c>
      <c r="E10" s="15" t="s">
        <v>10</v>
      </c>
      <c r="F10" s="198">
        <v>2021</v>
      </c>
      <c r="G10" s="85">
        <v>0</v>
      </c>
      <c r="H10" s="136">
        <v>0</v>
      </c>
      <c r="I10" s="85">
        <f>2464211+5750814-4691000-1246084.3-1218000</f>
        <v>1059940.7000000002</v>
      </c>
      <c r="J10" s="198"/>
      <c r="K10" s="58">
        <v>2038</v>
      </c>
      <c r="L10" s="105">
        <f>1059200</f>
        <v>1059200</v>
      </c>
      <c r="M10" s="105">
        <f>I10-L10</f>
        <v>740.70000000018626</v>
      </c>
      <c r="N10" s="137" t="s">
        <v>208</v>
      </c>
    </row>
    <row r="11" spans="1:14" s="137" customFormat="1" ht="51.75" customHeight="1" x14ac:dyDescent="0.2">
      <c r="A11" s="196" t="s">
        <v>57</v>
      </c>
      <c r="B11" s="37">
        <v>6040</v>
      </c>
      <c r="C11" s="196" t="s">
        <v>59</v>
      </c>
      <c r="D11" s="200" t="s">
        <v>58</v>
      </c>
      <c r="E11" s="15" t="s">
        <v>60</v>
      </c>
      <c r="F11" s="198">
        <v>2021</v>
      </c>
      <c r="G11" s="85">
        <v>5261884</v>
      </c>
      <c r="H11" s="136">
        <v>0</v>
      </c>
      <c r="I11" s="85">
        <v>1985175</v>
      </c>
      <c r="J11" s="198"/>
      <c r="K11" s="58">
        <v>2041</v>
      </c>
      <c r="L11" s="62">
        <f>1092289.76+50654.87</f>
        <v>1142944.6300000001</v>
      </c>
      <c r="M11" s="105">
        <f>I11-L11</f>
        <v>842230.36999999988</v>
      </c>
    </row>
    <row r="12" spans="1:14" s="137" customFormat="1" ht="31.5" x14ac:dyDescent="0.2">
      <c r="A12" s="225" t="s">
        <v>158</v>
      </c>
      <c r="B12" s="37">
        <v>6082</v>
      </c>
      <c r="C12" s="225" t="s">
        <v>32</v>
      </c>
      <c r="D12" s="232" t="s">
        <v>159</v>
      </c>
      <c r="E12" s="15" t="s">
        <v>160</v>
      </c>
      <c r="F12" s="224">
        <v>2021</v>
      </c>
      <c r="G12" s="85">
        <v>4895627</v>
      </c>
      <c r="H12" s="136">
        <v>0</v>
      </c>
      <c r="I12" s="85">
        <f>1486688+240000</f>
        <v>1726688</v>
      </c>
      <c r="J12" s="224"/>
      <c r="K12" s="58">
        <v>2115</v>
      </c>
      <c r="L12" s="62">
        <v>1726688</v>
      </c>
      <c r="M12" s="105">
        <f>I12-L12</f>
        <v>0</v>
      </c>
    </row>
    <row r="13" spans="1:14" s="184" customFormat="1" ht="18.75" x14ac:dyDescent="0.25">
      <c r="A13" s="349" t="s">
        <v>118</v>
      </c>
      <c r="B13" s="344">
        <v>7330</v>
      </c>
      <c r="C13" s="293" t="s">
        <v>5</v>
      </c>
      <c r="D13" s="305" t="s">
        <v>117</v>
      </c>
      <c r="E13" s="54" t="s">
        <v>40</v>
      </c>
      <c r="F13" s="279">
        <v>2021</v>
      </c>
      <c r="G13" s="85">
        <v>0</v>
      </c>
      <c r="H13" s="136">
        <v>0</v>
      </c>
      <c r="I13" s="85">
        <f>2000000-414152-524756.17-500000-288500</f>
        <v>272591.83000000007</v>
      </c>
      <c r="J13" s="54"/>
      <c r="K13" s="58">
        <v>2027</v>
      </c>
      <c r="L13" s="288">
        <v>0</v>
      </c>
      <c r="M13" s="105">
        <f t="shared" ref="M13:M22" si="1">I13-L13</f>
        <v>272591.83000000007</v>
      </c>
    </row>
    <row r="14" spans="1:14" s="137" customFormat="1" ht="46.5" customHeight="1" x14ac:dyDescent="0.2">
      <c r="A14" s="350"/>
      <c r="B14" s="352"/>
      <c r="C14" s="297"/>
      <c r="D14" s="306"/>
      <c r="E14" s="15" t="s">
        <v>336</v>
      </c>
      <c r="F14" s="198" t="s">
        <v>179</v>
      </c>
      <c r="G14" s="85">
        <v>25000000</v>
      </c>
      <c r="H14" s="136">
        <v>0</v>
      </c>
      <c r="I14" s="85">
        <v>498976</v>
      </c>
      <c r="J14" s="198"/>
      <c r="K14" s="58">
        <v>2158</v>
      </c>
      <c r="L14" s="62">
        <v>495184</v>
      </c>
      <c r="M14" s="105">
        <f t="shared" si="1"/>
        <v>3792</v>
      </c>
    </row>
    <row r="15" spans="1:14" s="137" customFormat="1" ht="54.75" customHeight="1" x14ac:dyDescent="0.2">
      <c r="A15" s="350"/>
      <c r="B15" s="352"/>
      <c r="C15" s="297"/>
      <c r="D15" s="306"/>
      <c r="E15" s="15" t="s">
        <v>337</v>
      </c>
      <c r="F15" s="219">
        <v>2021</v>
      </c>
      <c r="G15" s="85">
        <v>198000</v>
      </c>
      <c r="H15" s="136">
        <v>0</v>
      </c>
      <c r="I15" s="85">
        <v>198000</v>
      </c>
      <c r="J15" s="219"/>
      <c r="K15" s="58">
        <v>2208</v>
      </c>
      <c r="L15" s="62">
        <v>198000</v>
      </c>
      <c r="M15" s="105"/>
    </row>
    <row r="16" spans="1:14" s="137" customFormat="1" ht="47.25" x14ac:dyDescent="0.25">
      <c r="A16" s="350"/>
      <c r="B16" s="352"/>
      <c r="C16" s="297"/>
      <c r="D16" s="306"/>
      <c r="E16" s="33" t="s">
        <v>333</v>
      </c>
      <c r="F16" s="215">
        <v>2021</v>
      </c>
      <c r="G16" s="85">
        <v>49990</v>
      </c>
      <c r="H16" s="136">
        <v>0</v>
      </c>
      <c r="I16" s="85">
        <v>49990</v>
      </c>
      <c r="J16" s="215"/>
      <c r="K16" s="58">
        <v>2207</v>
      </c>
      <c r="L16" s="62">
        <v>48039</v>
      </c>
      <c r="M16" s="105">
        <f t="shared" si="1"/>
        <v>1951</v>
      </c>
    </row>
    <row r="17" spans="1:52" s="137" customFormat="1" ht="31.5" x14ac:dyDescent="0.25">
      <c r="A17" s="350"/>
      <c r="B17" s="352"/>
      <c r="C17" s="297"/>
      <c r="D17" s="306"/>
      <c r="E17" s="33" t="s">
        <v>367</v>
      </c>
      <c r="F17" s="279">
        <v>2021</v>
      </c>
      <c r="G17" s="85">
        <v>76500</v>
      </c>
      <c r="H17" s="136">
        <v>0</v>
      </c>
      <c r="I17" s="85">
        <v>76500</v>
      </c>
      <c r="J17" s="279"/>
      <c r="K17" s="58">
        <v>2207</v>
      </c>
      <c r="L17" s="62"/>
      <c r="M17" s="105"/>
    </row>
    <row r="18" spans="1:52" s="137" customFormat="1" ht="31.5" x14ac:dyDescent="0.25">
      <c r="A18" s="351"/>
      <c r="B18" s="345"/>
      <c r="C18" s="294"/>
      <c r="D18" s="307"/>
      <c r="E18" s="33" t="s">
        <v>368</v>
      </c>
      <c r="F18" s="279">
        <v>2021</v>
      </c>
      <c r="G18" s="85">
        <v>105000</v>
      </c>
      <c r="H18" s="136">
        <v>0</v>
      </c>
      <c r="I18" s="85">
        <v>105500</v>
      </c>
      <c r="J18" s="279"/>
      <c r="K18" s="58">
        <v>2158</v>
      </c>
      <c r="L18" s="62"/>
      <c r="M18" s="105"/>
    </row>
    <row r="19" spans="1:52" s="184" customFormat="1" ht="47.25" x14ac:dyDescent="0.25">
      <c r="A19" s="244" t="s">
        <v>187</v>
      </c>
      <c r="B19" s="230">
        <v>7361</v>
      </c>
      <c r="C19" s="225" t="s">
        <v>5</v>
      </c>
      <c r="D19" s="227" t="s">
        <v>188</v>
      </c>
      <c r="E19" s="95" t="s">
        <v>150</v>
      </c>
      <c r="F19" s="224">
        <v>2021</v>
      </c>
      <c r="G19" s="85">
        <v>25999836</v>
      </c>
      <c r="H19" s="136">
        <v>0</v>
      </c>
      <c r="I19" s="85">
        <f>7799951+2777364.3-170000</f>
        <v>10407315.300000001</v>
      </c>
      <c r="J19" s="54"/>
      <c r="K19" s="58">
        <v>2005</v>
      </c>
      <c r="L19" s="185">
        <f>2120557+2629120.33+820797.19+562890.26+4141064.01+130950</f>
        <v>10405378.789999999</v>
      </c>
      <c r="M19" s="105">
        <f t="shared" si="1"/>
        <v>1936.5100000016391</v>
      </c>
    </row>
    <row r="20" spans="1:52" s="137" customFormat="1" ht="31.5" x14ac:dyDescent="0.2">
      <c r="A20" s="293" t="s">
        <v>29</v>
      </c>
      <c r="B20" s="295">
        <v>7370</v>
      </c>
      <c r="C20" s="293" t="s">
        <v>5</v>
      </c>
      <c r="D20" s="305" t="s">
        <v>30</v>
      </c>
      <c r="E20" s="103" t="s">
        <v>120</v>
      </c>
      <c r="F20" s="224">
        <v>2021</v>
      </c>
      <c r="G20" s="85">
        <f>I20</f>
        <v>4500000</v>
      </c>
      <c r="H20" s="136">
        <v>0</v>
      </c>
      <c r="I20" s="85">
        <v>4500000</v>
      </c>
      <c r="J20" s="224"/>
      <c r="K20" s="58">
        <v>2002</v>
      </c>
      <c r="L20" s="105">
        <v>4499252</v>
      </c>
      <c r="M20" s="105">
        <f>I20-L20</f>
        <v>748</v>
      </c>
    </row>
    <row r="21" spans="1:52" s="137" customFormat="1" ht="36.75" customHeight="1" x14ac:dyDescent="0.2">
      <c r="A21" s="294"/>
      <c r="B21" s="296"/>
      <c r="C21" s="294"/>
      <c r="D21" s="307"/>
      <c r="E21" s="103" t="s">
        <v>304</v>
      </c>
      <c r="F21" s="224">
        <v>2021</v>
      </c>
      <c r="G21" s="85">
        <v>4725343</v>
      </c>
      <c r="H21" s="136">
        <v>0</v>
      </c>
      <c r="I21" s="85">
        <f>4725343</f>
        <v>4725343</v>
      </c>
      <c r="J21" s="224"/>
      <c r="K21" s="58">
        <v>2190</v>
      </c>
      <c r="L21" s="62">
        <v>4725343</v>
      </c>
      <c r="M21" s="62">
        <f>I21-L21</f>
        <v>0</v>
      </c>
    </row>
    <row r="22" spans="1:52" s="242" customFormat="1" ht="31.5" x14ac:dyDescent="0.25">
      <c r="A22" s="233" t="s">
        <v>4</v>
      </c>
      <c r="B22" s="234">
        <v>7650</v>
      </c>
      <c r="C22" s="233" t="s">
        <v>5</v>
      </c>
      <c r="D22" s="235" t="s">
        <v>13</v>
      </c>
      <c r="E22" s="236" t="s">
        <v>6</v>
      </c>
      <c r="F22" s="237">
        <v>2021</v>
      </c>
      <c r="G22" s="238">
        <v>0</v>
      </c>
      <c r="H22" s="239">
        <v>0</v>
      </c>
      <c r="I22" s="238">
        <f>100000+49990-49900</f>
        <v>100090</v>
      </c>
      <c r="J22" s="237"/>
      <c r="K22" s="240">
        <v>2001</v>
      </c>
      <c r="L22" s="241">
        <f>19300+5000+16000</f>
        <v>40300</v>
      </c>
      <c r="M22" s="241">
        <f t="shared" si="1"/>
        <v>59790</v>
      </c>
    </row>
    <row r="23" spans="1:52" s="137" customFormat="1" ht="31.5" x14ac:dyDescent="0.25">
      <c r="A23" s="316" t="s">
        <v>37</v>
      </c>
      <c r="B23" s="317">
        <v>9770</v>
      </c>
      <c r="C23" s="316" t="s">
        <v>22</v>
      </c>
      <c r="D23" s="348" t="s">
        <v>38</v>
      </c>
      <c r="E23" s="95" t="s">
        <v>45</v>
      </c>
      <c r="F23" s="224" t="s">
        <v>179</v>
      </c>
      <c r="G23" s="85">
        <v>19941203</v>
      </c>
      <c r="H23" s="136">
        <v>0</v>
      </c>
      <c r="I23" s="85">
        <f>1400000+1000000</f>
        <v>2400000</v>
      </c>
      <c r="J23" s="224"/>
      <c r="K23" s="58">
        <v>2006</v>
      </c>
      <c r="L23" s="105">
        <v>2400000</v>
      </c>
      <c r="M23" s="105">
        <f>I23-L23</f>
        <v>0</v>
      </c>
    </row>
    <row r="24" spans="1:52" s="137" customFormat="1" ht="18.75" x14ac:dyDescent="0.25">
      <c r="A24" s="316"/>
      <c r="B24" s="317"/>
      <c r="C24" s="316"/>
      <c r="D24" s="348"/>
      <c r="E24" s="33" t="s">
        <v>51</v>
      </c>
      <c r="F24" s="279">
        <v>2021</v>
      </c>
      <c r="G24" s="85">
        <v>39127000</v>
      </c>
      <c r="H24" s="136">
        <v>0</v>
      </c>
      <c r="I24" s="85">
        <f>2086945-1559533-134953-240000-71400</f>
        <v>81059</v>
      </c>
      <c r="J24" s="279"/>
      <c r="K24" s="58">
        <v>2007</v>
      </c>
      <c r="L24" s="105">
        <v>0</v>
      </c>
      <c r="M24" s="105">
        <f>I24-L24</f>
        <v>81059</v>
      </c>
    </row>
    <row r="25" spans="1:52" s="137" customFormat="1" ht="35.25" customHeight="1" x14ac:dyDescent="0.25">
      <c r="A25" s="316"/>
      <c r="B25" s="317"/>
      <c r="C25" s="316"/>
      <c r="D25" s="348"/>
      <c r="E25" s="33" t="s">
        <v>39</v>
      </c>
      <c r="F25" s="198" t="s">
        <v>203</v>
      </c>
      <c r="G25" s="85">
        <v>22473283</v>
      </c>
      <c r="H25" s="136">
        <v>0</v>
      </c>
      <c r="I25" s="85">
        <f>4495000-1640211-762788-600000-15500-1469700</f>
        <v>6801</v>
      </c>
      <c r="J25" s="198"/>
      <c r="K25" s="58">
        <v>2013</v>
      </c>
      <c r="L25" s="105">
        <v>0</v>
      </c>
      <c r="M25" s="105">
        <f>I25-L25</f>
        <v>6801</v>
      </c>
    </row>
    <row r="26" spans="1:52" s="137" customFormat="1" ht="36.75" customHeight="1" x14ac:dyDescent="0.25">
      <c r="A26" s="316"/>
      <c r="B26" s="317"/>
      <c r="C26" s="316"/>
      <c r="D26" s="348"/>
      <c r="E26" s="33" t="s">
        <v>65</v>
      </c>
      <c r="F26" s="198" t="s">
        <v>203</v>
      </c>
      <c r="G26" s="85">
        <v>17352090</v>
      </c>
      <c r="H26" s="136">
        <v>0</v>
      </c>
      <c r="I26" s="85">
        <v>3470418</v>
      </c>
      <c r="J26" s="198"/>
      <c r="K26" s="58">
        <v>2047</v>
      </c>
      <c r="L26" s="105">
        <v>3470418</v>
      </c>
      <c r="M26" s="105">
        <f>I26-L26</f>
        <v>0</v>
      </c>
    </row>
    <row r="27" spans="1:52" s="137" customFormat="1" ht="36.75" customHeight="1" x14ac:dyDescent="0.25">
      <c r="A27" s="316"/>
      <c r="B27" s="317"/>
      <c r="C27" s="316"/>
      <c r="D27" s="348"/>
      <c r="E27" s="33" t="s">
        <v>305</v>
      </c>
      <c r="F27" s="198" t="s">
        <v>306</v>
      </c>
      <c r="G27" s="85">
        <v>9823243</v>
      </c>
      <c r="H27" s="136">
        <v>0.65</v>
      </c>
      <c r="I27" s="85">
        <v>1019200</v>
      </c>
      <c r="J27" s="198"/>
      <c r="K27" s="58">
        <v>2191</v>
      </c>
      <c r="L27" s="62">
        <v>1019200</v>
      </c>
      <c r="M27" s="105">
        <f t="shared" ref="M27:M28" si="2">I27-L27</f>
        <v>0</v>
      </c>
    </row>
    <row r="28" spans="1:52" s="137" customFormat="1" ht="36.75" customHeight="1" x14ac:dyDescent="0.25">
      <c r="A28" s="316"/>
      <c r="B28" s="317"/>
      <c r="C28" s="316"/>
      <c r="D28" s="348"/>
      <c r="E28" s="33" t="s">
        <v>307</v>
      </c>
      <c r="F28" s="198" t="s">
        <v>306</v>
      </c>
      <c r="G28" s="85">
        <v>12167077</v>
      </c>
      <c r="H28" s="136">
        <v>0.7</v>
      </c>
      <c r="I28" s="85">
        <v>5373652</v>
      </c>
      <c r="J28" s="198"/>
      <c r="K28" s="58">
        <v>2192</v>
      </c>
      <c r="L28" s="62">
        <v>5373652</v>
      </c>
      <c r="M28" s="105">
        <f t="shared" si="2"/>
        <v>0</v>
      </c>
    </row>
    <row r="29" spans="1:52" s="137" customFormat="1" ht="30" customHeight="1" x14ac:dyDescent="0.25">
      <c r="A29" s="316"/>
      <c r="B29" s="317"/>
      <c r="C29" s="316"/>
      <c r="D29" s="348"/>
      <c r="E29" s="33" t="s">
        <v>240</v>
      </c>
      <c r="F29" s="30">
        <v>2021</v>
      </c>
      <c r="G29" s="85">
        <v>1124558</v>
      </c>
      <c r="H29" s="136">
        <v>0</v>
      </c>
      <c r="I29" s="85">
        <v>1124558</v>
      </c>
      <c r="J29" s="30"/>
      <c r="K29" s="58">
        <v>2130</v>
      </c>
      <c r="L29" s="105">
        <v>1124558</v>
      </c>
      <c r="M29" s="105">
        <f>I29-L29</f>
        <v>0</v>
      </c>
    </row>
    <row r="30" spans="1:52" s="137" customFormat="1" ht="30" customHeight="1" x14ac:dyDescent="0.25">
      <c r="A30" s="178" t="s">
        <v>296</v>
      </c>
      <c r="B30" s="179">
        <v>8110</v>
      </c>
      <c r="C30" s="178" t="s">
        <v>93</v>
      </c>
      <c r="D30" s="167" t="s">
        <v>297</v>
      </c>
      <c r="E30" s="33" t="s">
        <v>10</v>
      </c>
      <c r="F30" s="30">
        <v>2021</v>
      </c>
      <c r="G30" s="85">
        <v>0</v>
      </c>
      <c r="H30" s="136">
        <v>0</v>
      </c>
      <c r="I30" s="85">
        <v>168720</v>
      </c>
      <c r="J30" s="30"/>
      <c r="K30" s="58">
        <v>2181</v>
      </c>
      <c r="L30" s="62">
        <v>168720</v>
      </c>
      <c r="M30" s="105"/>
    </row>
    <row r="31" spans="1:52" s="121" customFormat="1" ht="18.75" customHeight="1" x14ac:dyDescent="0.2">
      <c r="D31" s="311" t="s">
        <v>140</v>
      </c>
      <c r="E31" s="312"/>
      <c r="F31" s="312"/>
      <c r="G31" s="312"/>
      <c r="H31" s="312"/>
      <c r="I31" s="312"/>
      <c r="J31" s="313"/>
      <c r="K31" s="120"/>
      <c r="L31" s="120"/>
      <c r="M31" s="120"/>
      <c r="N31" s="120"/>
      <c r="O31" s="120"/>
      <c r="P31" s="120"/>
      <c r="Q31" s="120"/>
      <c r="R31" s="120"/>
      <c r="S31" s="120"/>
      <c r="T31" s="120"/>
      <c r="U31" s="120"/>
      <c r="V31" s="120"/>
      <c r="W31" s="120"/>
      <c r="X31" s="120"/>
      <c r="Y31" s="120"/>
      <c r="Z31" s="120"/>
      <c r="AA31" s="120"/>
      <c r="AB31" s="120"/>
      <c r="AC31" s="120"/>
      <c r="AD31" s="120"/>
      <c r="AE31" s="120"/>
      <c r="AF31" s="120"/>
      <c r="AG31" s="120"/>
      <c r="AH31" s="120"/>
      <c r="AI31" s="120"/>
      <c r="AJ31" s="120"/>
      <c r="AK31" s="120"/>
      <c r="AL31" s="120"/>
      <c r="AM31" s="120"/>
      <c r="AN31" s="120"/>
      <c r="AO31" s="120"/>
      <c r="AP31" s="120"/>
      <c r="AQ31" s="120"/>
      <c r="AR31" s="120"/>
      <c r="AS31" s="120"/>
      <c r="AT31" s="120"/>
      <c r="AU31" s="120"/>
      <c r="AV31" s="120"/>
      <c r="AW31" s="120"/>
      <c r="AX31" s="120"/>
      <c r="AY31" s="120"/>
      <c r="AZ31" s="120"/>
    </row>
    <row r="32" spans="1:52" s="137" customFormat="1" ht="110.25" x14ac:dyDescent="0.2">
      <c r="A32" s="272" t="s">
        <v>369</v>
      </c>
      <c r="B32" s="37">
        <v>6072</v>
      </c>
      <c r="C32" s="272" t="s">
        <v>371</v>
      </c>
      <c r="D32" s="274" t="s">
        <v>370</v>
      </c>
      <c r="E32" s="15" t="s">
        <v>372</v>
      </c>
      <c r="F32" s="279">
        <v>2021</v>
      </c>
      <c r="G32" s="85">
        <v>2645900</v>
      </c>
      <c r="H32" s="136">
        <v>0</v>
      </c>
      <c r="I32" s="85">
        <v>2645900</v>
      </c>
      <c r="J32" s="279"/>
      <c r="K32" s="58">
        <v>2225</v>
      </c>
      <c r="L32" s="62">
        <v>2645809</v>
      </c>
      <c r="M32" s="105">
        <f>I32-L32</f>
        <v>91</v>
      </c>
      <c r="N32" s="173">
        <f>G32-I32</f>
        <v>0</v>
      </c>
    </row>
    <row r="33" spans="1:52" s="144" customFormat="1" ht="15.75" x14ac:dyDescent="0.2">
      <c r="A33" s="318"/>
      <c r="B33" s="319"/>
      <c r="C33" s="320"/>
      <c r="D33" s="39" t="s">
        <v>74</v>
      </c>
      <c r="E33" s="141"/>
      <c r="F33" s="43" t="s">
        <v>7</v>
      </c>
      <c r="G33" s="81" t="s">
        <v>7</v>
      </c>
      <c r="H33" s="81" t="s">
        <v>7</v>
      </c>
      <c r="I33" s="81">
        <f>SUM(I34:I35)</f>
        <v>2013486</v>
      </c>
      <c r="J33" s="43" t="s">
        <v>7</v>
      </c>
      <c r="K33" s="142"/>
      <c r="L33" s="142"/>
      <c r="M33" s="142"/>
      <c r="N33" s="143"/>
      <c r="O33" s="143"/>
      <c r="P33" s="143"/>
      <c r="Q33" s="143"/>
      <c r="R33" s="143"/>
      <c r="S33" s="143"/>
      <c r="T33" s="143"/>
      <c r="U33" s="143"/>
      <c r="V33" s="143"/>
      <c r="W33" s="143"/>
      <c r="X33" s="143"/>
      <c r="Y33" s="143"/>
      <c r="Z33" s="143"/>
      <c r="AA33" s="143"/>
      <c r="AB33" s="143"/>
      <c r="AC33" s="143"/>
      <c r="AD33" s="143"/>
      <c r="AE33" s="143"/>
      <c r="AF33" s="143"/>
      <c r="AG33" s="143"/>
      <c r="AH33" s="143"/>
      <c r="AI33" s="143"/>
      <c r="AJ33" s="143"/>
      <c r="AK33" s="143"/>
      <c r="AL33" s="143"/>
      <c r="AM33" s="143"/>
      <c r="AN33" s="143"/>
      <c r="AO33" s="143"/>
      <c r="AP33" s="143"/>
      <c r="AQ33" s="143"/>
      <c r="AR33" s="143"/>
      <c r="AS33" s="143"/>
      <c r="AT33" s="143"/>
      <c r="AU33" s="143"/>
      <c r="AV33" s="143"/>
      <c r="AW33" s="143"/>
      <c r="AX33" s="143"/>
      <c r="AY33" s="143"/>
      <c r="AZ33" s="143"/>
    </row>
    <row r="34" spans="1:52" s="137" customFormat="1" ht="39.75" customHeight="1" x14ac:dyDescent="0.2">
      <c r="A34" s="293" t="s">
        <v>25</v>
      </c>
      <c r="B34" s="295">
        <v>7441</v>
      </c>
      <c r="C34" s="293" t="s">
        <v>20</v>
      </c>
      <c r="D34" s="344" t="s">
        <v>26</v>
      </c>
      <c r="E34" s="103" t="s">
        <v>76</v>
      </c>
      <c r="F34" s="198">
        <v>2021</v>
      </c>
      <c r="G34" s="85">
        <f>I34</f>
        <v>1250698</v>
      </c>
      <c r="H34" s="136">
        <v>0</v>
      </c>
      <c r="I34" s="85">
        <f>1488000-87302-150000</f>
        <v>1250698</v>
      </c>
      <c r="J34" s="202"/>
      <c r="K34" s="58">
        <v>2018</v>
      </c>
      <c r="L34" s="62">
        <f>109605.01+537394.99</f>
        <v>647000</v>
      </c>
      <c r="M34" s="105">
        <f>I34-L34</f>
        <v>603698</v>
      </c>
    </row>
    <row r="35" spans="1:52" s="137" customFormat="1" ht="66.75" customHeight="1" x14ac:dyDescent="0.2">
      <c r="A35" s="294"/>
      <c r="B35" s="296"/>
      <c r="C35" s="294"/>
      <c r="D35" s="345"/>
      <c r="E35" s="103" t="s">
        <v>80</v>
      </c>
      <c r="F35" s="30">
        <v>2021</v>
      </c>
      <c r="G35" s="85">
        <f>I35</f>
        <v>762788</v>
      </c>
      <c r="H35" s="136">
        <v>0</v>
      </c>
      <c r="I35" s="85">
        <v>762788</v>
      </c>
      <c r="J35" s="30"/>
      <c r="K35" s="58">
        <v>2049</v>
      </c>
      <c r="L35" s="105"/>
      <c r="M35" s="105">
        <f>I35-L35</f>
        <v>762788</v>
      </c>
    </row>
    <row r="36" spans="1:52" s="145" customFormat="1" ht="15.75" x14ac:dyDescent="0.25">
      <c r="A36" s="318"/>
      <c r="B36" s="319"/>
      <c r="C36" s="320"/>
      <c r="D36" s="39" t="s">
        <v>94</v>
      </c>
      <c r="E36" s="36"/>
      <c r="F36" s="43" t="s">
        <v>7</v>
      </c>
      <c r="G36" s="81" t="s">
        <v>7</v>
      </c>
      <c r="H36" s="81" t="s">
        <v>7</v>
      </c>
      <c r="I36" s="81">
        <f>SUM(I37:I52)</f>
        <v>16443122.17</v>
      </c>
      <c r="J36" s="43" t="s">
        <v>7</v>
      </c>
      <c r="K36" s="142"/>
      <c r="L36" s="142"/>
      <c r="M36" s="142"/>
    </row>
    <row r="37" spans="1:52" s="137" customFormat="1" ht="18.75" x14ac:dyDescent="0.25">
      <c r="A37" s="293" t="s">
        <v>11</v>
      </c>
      <c r="B37" s="298">
        <v>6030</v>
      </c>
      <c r="C37" s="293" t="s">
        <v>18</v>
      </c>
      <c r="D37" s="301" t="s">
        <v>19</v>
      </c>
      <c r="E37" s="33" t="s">
        <v>27</v>
      </c>
      <c r="F37" s="219">
        <v>2021</v>
      </c>
      <c r="G37" s="85">
        <f>I37</f>
        <v>8900</v>
      </c>
      <c r="H37" s="136">
        <v>0</v>
      </c>
      <c r="I37" s="85">
        <f>391800-382900</f>
        <v>8900</v>
      </c>
      <c r="J37" s="219"/>
      <c r="K37" s="58">
        <v>2019</v>
      </c>
      <c r="L37" s="105"/>
      <c r="M37" s="105">
        <f>I37-L37</f>
        <v>8900</v>
      </c>
    </row>
    <row r="38" spans="1:52" s="137" customFormat="1" ht="18.75" x14ac:dyDescent="0.25">
      <c r="A38" s="297"/>
      <c r="B38" s="299"/>
      <c r="C38" s="297"/>
      <c r="D38" s="302"/>
      <c r="E38" s="33" t="s">
        <v>10</v>
      </c>
      <c r="F38" s="224">
        <v>2021</v>
      </c>
      <c r="G38" s="85">
        <v>0</v>
      </c>
      <c r="H38" s="136">
        <v>0</v>
      </c>
      <c r="I38" s="85">
        <f>4691000-1700000-2787000-49990+299965-119487</f>
        <v>334488</v>
      </c>
      <c r="J38" s="224"/>
      <c r="K38" s="58">
        <v>2038</v>
      </c>
      <c r="L38" s="105">
        <v>299964</v>
      </c>
      <c r="M38" s="105">
        <f>I38-L38</f>
        <v>34524</v>
      </c>
    </row>
    <row r="39" spans="1:52" s="137" customFormat="1" ht="31.5" x14ac:dyDescent="0.25">
      <c r="A39" s="297"/>
      <c r="B39" s="299"/>
      <c r="C39" s="297"/>
      <c r="D39" s="302"/>
      <c r="E39" s="33" t="s">
        <v>299</v>
      </c>
      <c r="F39" s="198">
        <v>2021</v>
      </c>
      <c r="G39" s="85">
        <v>1343778</v>
      </c>
      <c r="H39" s="136">
        <v>0</v>
      </c>
      <c r="I39" s="85">
        <f t="shared" ref="I39:I44" si="3">G39</f>
        <v>1343778</v>
      </c>
      <c r="J39" s="198"/>
      <c r="K39" s="58">
        <v>2188</v>
      </c>
      <c r="L39" s="62">
        <f>1276354.06+36327</f>
        <v>1312681.06</v>
      </c>
      <c r="M39" s="105">
        <f t="shared" ref="M39:M46" si="4">I39-L39</f>
        <v>31096.939999999944</v>
      </c>
    </row>
    <row r="40" spans="1:52" s="137" customFormat="1" ht="31.5" x14ac:dyDescent="0.25">
      <c r="A40" s="297"/>
      <c r="B40" s="299"/>
      <c r="C40" s="297"/>
      <c r="D40" s="302"/>
      <c r="E40" s="33" t="s">
        <v>300</v>
      </c>
      <c r="F40" s="198">
        <v>2021</v>
      </c>
      <c r="G40" s="85">
        <v>1957530</v>
      </c>
      <c r="H40" s="136">
        <v>0</v>
      </c>
      <c r="I40" s="85">
        <f t="shared" si="3"/>
        <v>1957530</v>
      </c>
      <c r="J40" s="198"/>
      <c r="K40" s="58">
        <v>2166</v>
      </c>
      <c r="L40" s="62">
        <f>1881380.95+4620</f>
        <v>1886000.95</v>
      </c>
      <c r="M40" s="105">
        <f t="shared" si="4"/>
        <v>71529.050000000047</v>
      </c>
    </row>
    <row r="41" spans="1:52" s="137" customFormat="1" ht="31.5" x14ac:dyDescent="0.25">
      <c r="A41" s="297"/>
      <c r="B41" s="299"/>
      <c r="C41" s="297"/>
      <c r="D41" s="302"/>
      <c r="E41" s="33" t="s">
        <v>301</v>
      </c>
      <c r="F41" s="198">
        <v>2021</v>
      </c>
      <c r="G41" s="85">
        <v>1983519</v>
      </c>
      <c r="H41" s="136">
        <v>0</v>
      </c>
      <c r="I41" s="85">
        <f t="shared" si="3"/>
        <v>1983519</v>
      </c>
      <c r="J41" s="198"/>
      <c r="K41" s="58">
        <v>2167</v>
      </c>
      <c r="L41" s="62">
        <f>1905186.04+4788</f>
        <v>1909974.04</v>
      </c>
      <c r="M41" s="105">
        <f t="shared" si="4"/>
        <v>73544.959999999963</v>
      </c>
    </row>
    <row r="42" spans="1:52" s="137" customFormat="1" ht="31.5" x14ac:dyDescent="0.25">
      <c r="A42" s="297"/>
      <c r="B42" s="299"/>
      <c r="C42" s="297"/>
      <c r="D42" s="302"/>
      <c r="E42" s="33" t="s">
        <v>302</v>
      </c>
      <c r="F42" s="198">
        <v>2021</v>
      </c>
      <c r="G42" s="85">
        <v>2834104</v>
      </c>
      <c r="H42" s="136">
        <v>0</v>
      </c>
      <c r="I42" s="85">
        <f t="shared" si="3"/>
        <v>2834104</v>
      </c>
      <c r="J42" s="198"/>
      <c r="K42" s="58">
        <v>2168</v>
      </c>
      <c r="L42" s="62">
        <f>1712425.57+786527.34+7665</f>
        <v>2506617.91</v>
      </c>
      <c r="M42" s="62">
        <f t="shared" si="4"/>
        <v>327486.08999999985</v>
      </c>
    </row>
    <row r="43" spans="1:52" s="137" customFormat="1" ht="31.5" x14ac:dyDescent="0.25">
      <c r="A43" s="297"/>
      <c r="B43" s="299"/>
      <c r="C43" s="297"/>
      <c r="D43" s="302"/>
      <c r="E43" s="33" t="s">
        <v>344</v>
      </c>
      <c r="F43" s="219">
        <v>2021</v>
      </c>
      <c r="G43" s="85">
        <v>1071553</v>
      </c>
      <c r="H43" s="136">
        <v>0</v>
      </c>
      <c r="I43" s="85">
        <f t="shared" si="3"/>
        <v>1071553</v>
      </c>
      <c r="J43" s="219"/>
      <c r="K43" s="58">
        <v>2215</v>
      </c>
      <c r="L43" s="62">
        <f>381343.3+5633.08</f>
        <v>386976.38</v>
      </c>
      <c r="M43" s="62">
        <f t="shared" si="4"/>
        <v>684576.62</v>
      </c>
    </row>
    <row r="44" spans="1:52" s="137" customFormat="1" ht="18.75" x14ac:dyDescent="0.25">
      <c r="A44" s="297"/>
      <c r="B44" s="299"/>
      <c r="C44" s="297"/>
      <c r="D44" s="302"/>
      <c r="E44" s="33" t="s">
        <v>343</v>
      </c>
      <c r="F44" s="219">
        <v>2021</v>
      </c>
      <c r="G44" s="85">
        <v>382900</v>
      </c>
      <c r="H44" s="136">
        <v>0</v>
      </c>
      <c r="I44" s="85">
        <f t="shared" si="3"/>
        <v>382900</v>
      </c>
      <c r="J44" s="219"/>
      <c r="K44" s="58">
        <v>2214</v>
      </c>
      <c r="L44" s="62">
        <v>382775.14</v>
      </c>
      <c r="M44" s="62">
        <f t="shared" si="4"/>
        <v>124.85999999998603</v>
      </c>
    </row>
    <row r="45" spans="1:52" s="137" customFormat="1" ht="18.75" x14ac:dyDescent="0.25">
      <c r="A45" s="297"/>
      <c r="B45" s="299"/>
      <c r="C45" s="297"/>
      <c r="D45" s="302"/>
      <c r="E45" s="33" t="s">
        <v>356</v>
      </c>
      <c r="F45" s="224">
        <v>2021</v>
      </c>
      <c r="G45" s="85">
        <v>1502542</v>
      </c>
      <c r="H45" s="136">
        <v>0</v>
      </c>
      <c r="I45" s="85">
        <v>631614</v>
      </c>
      <c r="J45" s="224"/>
      <c r="K45" s="58">
        <v>2220</v>
      </c>
      <c r="L45" s="62">
        <v>631614</v>
      </c>
      <c r="M45" s="62">
        <f t="shared" si="4"/>
        <v>0</v>
      </c>
    </row>
    <row r="46" spans="1:52" s="137" customFormat="1" ht="18.75" x14ac:dyDescent="0.25">
      <c r="A46" s="294"/>
      <c r="B46" s="300"/>
      <c r="C46" s="294"/>
      <c r="D46" s="303"/>
      <c r="E46" s="33" t="s">
        <v>363</v>
      </c>
      <c r="F46" s="261">
        <v>2021</v>
      </c>
      <c r="G46" s="85">
        <v>1818919</v>
      </c>
      <c r="H46" s="136">
        <v>0</v>
      </c>
      <c r="I46" s="85">
        <f>748000+106902</f>
        <v>854902</v>
      </c>
      <c r="J46" s="261"/>
      <c r="K46" s="58">
        <v>2223</v>
      </c>
      <c r="L46" s="62">
        <f>20028.87+480647.96</f>
        <v>500676.83</v>
      </c>
      <c r="M46" s="62">
        <f t="shared" si="4"/>
        <v>354225.17</v>
      </c>
    </row>
    <row r="47" spans="1:52" s="137" customFormat="1" ht="47.25" customHeight="1" x14ac:dyDescent="0.25">
      <c r="A47" s="368" t="s">
        <v>41</v>
      </c>
      <c r="B47" s="371">
        <v>7461</v>
      </c>
      <c r="C47" s="316" t="s">
        <v>20</v>
      </c>
      <c r="D47" s="372" t="s">
        <v>42</v>
      </c>
      <c r="E47" s="95" t="s">
        <v>168</v>
      </c>
      <c r="F47" s="198">
        <v>2021</v>
      </c>
      <c r="G47" s="85">
        <f>I47</f>
        <v>2500000</v>
      </c>
      <c r="H47" s="136">
        <v>0</v>
      </c>
      <c r="I47" s="85">
        <v>2500000</v>
      </c>
      <c r="J47" s="198"/>
      <c r="K47" s="58">
        <v>2021</v>
      </c>
      <c r="L47" s="62">
        <v>2462204</v>
      </c>
      <c r="M47" s="105">
        <f>I47-L47</f>
        <v>37796</v>
      </c>
    </row>
    <row r="48" spans="1:52" s="137" customFormat="1" ht="34.5" customHeight="1" x14ac:dyDescent="0.25">
      <c r="A48" s="368"/>
      <c r="B48" s="371"/>
      <c r="C48" s="316"/>
      <c r="D48" s="372"/>
      <c r="E48" s="95" t="s">
        <v>43</v>
      </c>
      <c r="F48" s="198">
        <v>2021</v>
      </c>
      <c r="G48" s="85">
        <f t="shared" ref="G48:G49" si="5">I48</f>
        <v>480000</v>
      </c>
      <c r="H48" s="136">
        <v>0</v>
      </c>
      <c r="I48" s="85">
        <v>480000</v>
      </c>
      <c r="J48" s="198"/>
      <c r="K48" s="58">
        <v>2022</v>
      </c>
      <c r="L48" s="105"/>
      <c r="M48" s="105">
        <f>I48-L48</f>
        <v>480000</v>
      </c>
    </row>
    <row r="49" spans="1:52" s="137" customFormat="1" ht="36.75" customHeight="1" x14ac:dyDescent="0.25">
      <c r="A49" s="368"/>
      <c r="B49" s="371"/>
      <c r="C49" s="316"/>
      <c r="D49" s="372"/>
      <c r="E49" s="95" t="s">
        <v>169</v>
      </c>
      <c r="F49" s="261">
        <v>2021</v>
      </c>
      <c r="G49" s="85">
        <f t="shared" si="5"/>
        <v>1493098</v>
      </c>
      <c r="H49" s="136">
        <v>0</v>
      </c>
      <c r="I49" s="85">
        <f>1600000-106902</f>
        <v>1493098</v>
      </c>
      <c r="J49" s="261"/>
      <c r="K49" s="58">
        <v>2023</v>
      </c>
      <c r="L49" s="105">
        <f>1493098</f>
        <v>1493098</v>
      </c>
      <c r="M49" s="105">
        <f>I49-L49</f>
        <v>0</v>
      </c>
    </row>
    <row r="50" spans="1:52" s="137" customFormat="1" ht="31.5" x14ac:dyDescent="0.25">
      <c r="A50" s="369" t="s">
        <v>118</v>
      </c>
      <c r="B50" s="348">
        <v>7330</v>
      </c>
      <c r="C50" s="316" t="s">
        <v>24</v>
      </c>
      <c r="D50" s="370" t="s">
        <v>117</v>
      </c>
      <c r="E50" s="33" t="s">
        <v>341</v>
      </c>
      <c r="F50" s="219">
        <v>2021</v>
      </c>
      <c r="G50" s="85">
        <v>233280</v>
      </c>
      <c r="H50" s="136">
        <v>0</v>
      </c>
      <c r="I50" s="85">
        <f>G50</f>
        <v>233280</v>
      </c>
      <c r="J50" s="219"/>
      <c r="K50" s="58">
        <v>2212</v>
      </c>
      <c r="L50" s="62">
        <f>91753.55+52051.39</f>
        <v>143804.94</v>
      </c>
      <c r="M50" s="105">
        <f>I50-L50</f>
        <v>89475.06</v>
      </c>
    </row>
    <row r="51" spans="1:52" s="137" customFormat="1" ht="31.5" x14ac:dyDescent="0.25">
      <c r="A51" s="369"/>
      <c r="B51" s="348"/>
      <c r="C51" s="316"/>
      <c r="D51" s="370"/>
      <c r="E51" s="33" t="s">
        <v>342</v>
      </c>
      <c r="F51" s="219">
        <v>2021</v>
      </c>
      <c r="G51" s="85">
        <v>56700</v>
      </c>
      <c r="H51" s="136">
        <v>0</v>
      </c>
      <c r="I51" s="85">
        <f>G51</f>
        <v>56700</v>
      </c>
      <c r="J51" s="219"/>
      <c r="K51" s="58">
        <v>2213</v>
      </c>
      <c r="L51" s="62">
        <v>56700</v>
      </c>
      <c r="M51" s="105">
        <f>I51-L51</f>
        <v>0</v>
      </c>
    </row>
    <row r="52" spans="1:52" s="137" customFormat="1" ht="54.75" customHeight="1" x14ac:dyDescent="0.2">
      <c r="A52" s="369"/>
      <c r="B52" s="348"/>
      <c r="C52" s="316"/>
      <c r="D52" s="370"/>
      <c r="E52" s="15" t="s">
        <v>298</v>
      </c>
      <c r="F52" s="245">
        <v>2021</v>
      </c>
      <c r="G52" s="85">
        <v>276756.17</v>
      </c>
      <c r="H52" s="136">
        <v>0</v>
      </c>
      <c r="I52" s="85">
        <f>G52</f>
        <v>276756.17</v>
      </c>
      <c r="J52" s="245"/>
      <c r="K52" s="58">
        <v>2182</v>
      </c>
      <c r="L52" s="62">
        <f>270028.2+1385.54</f>
        <v>271413.74</v>
      </c>
      <c r="M52" s="105">
        <f t="shared" ref="M52" si="6">I52-L52</f>
        <v>5342.429999999993</v>
      </c>
    </row>
    <row r="53" spans="1:52" s="144" customFormat="1" ht="15.75" x14ac:dyDescent="0.2">
      <c r="A53" s="318"/>
      <c r="B53" s="319"/>
      <c r="C53" s="320"/>
      <c r="D53" s="39" t="s">
        <v>75</v>
      </c>
      <c r="E53" s="141"/>
      <c r="F53" s="43" t="s">
        <v>7</v>
      </c>
      <c r="G53" s="81" t="s">
        <v>7</v>
      </c>
      <c r="H53" s="81" t="s">
        <v>7</v>
      </c>
      <c r="I53" s="81">
        <f>SUM(I54:I60)</f>
        <v>8179142</v>
      </c>
      <c r="J53" s="43" t="s">
        <v>7</v>
      </c>
      <c r="K53" s="146"/>
      <c r="L53" s="147"/>
      <c r="M53" s="148"/>
      <c r="N53" s="143"/>
      <c r="O53" s="143"/>
      <c r="P53" s="143"/>
      <c r="Q53" s="143"/>
      <c r="R53" s="143"/>
      <c r="S53" s="143"/>
      <c r="T53" s="143"/>
      <c r="U53" s="143"/>
      <c r="V53" s="143"/>
      <c r="W53" s="143"/>
      <c r="X53" s="143"/>
      <c r="Y53" s="143"/>
      <c r="Z53" s="143"/>
      <c r="AA53" s="143"/>
      <c r="AB53" s="143"/>
      <c r="AC53" s="143"/>
      <c r="AD53" s="143"/>
      <c r="AE53" s="143"/>
      <c r="AF53" s="143"/>
      <c r="AG53" s="143"/>
      <c r="AH53" s="143"/>
      <c r="AI53" s="143"/>
      <c r="AJ53" s="143"/>
      <c r="AK53" s="143"/>
      <c r="AL53" s="143"/>
      <c r="AM53" s="143"/>
      <c r="AN53" s="143"/>
      <c r="AO53" s="143"/>
      <c r="AP53" s="143"/>
      <c r="AQ53" s="143"/>
      <c r="AR53" s="143"/>
      <c r="AS53" s="143"/>
      <c r="AT53" s="143"/>
      <c r="AU53" s="143"/>
      <c r="AV53" s="143"/>
      <c r="AW53" s="143"/>
      <c r="AX53" s="143"/>
      <c r="AY53" s="143"/>
      <c r="AZ53" s="143"/>
    </row>
    <row r="54" spans="1:52" s="137" customFormat="1" ht="18.75" x14ac:dyDescent="0.25">
      <c r="A54" s="316" t="s">
        <v>11</v>
      </c>
      <c r="B54" s="317">
        <v>6030</v>
      </c>
      <c r="C54" s="316" t="s">
        <v>18</v>
      </c>
      <c r="D54" s="321" t="s">
        <v>19</v>
      </c>
      <c r="E54" s="33" t="s">
        <v>167</v>
      </c>
      <c r="F54" s="198">
        <v>2021</v>
      </c>
      <c r="G54" s="85">
        <v>8953609</v>
      </c>
      <c r="H54" s="136">
        <v>0</v>
      </c>
      <c r="I54" s="85">
        <f>9000000-37000-3800000</f>
        <v>5163000</v>
      </c>
      <c r="J54" s="198"/>
      <c r="K54" s="58">
        <v>2024</v>
      </c>
      <c r="L54" s="62">
        <f>2546669.15+1134482.92+46025.5+884179.75+281617.81</f>
        <v>4892975.13</v>
      </c>
      <c r="M54" s="105">
        <f>I54-L54</f>
        <v>270024.87000000011</v>
      </c>
    </row>
    <row r="55" spans="1:52" s="137" customFormat="1" ht="18.75" x14ac:dyDescent="0.25">
      <c r="A55" s="316"/>
      <c r="B55" s="317"/>
      <c r="C55" s="316"/>
      <c r="D55" s="321"/>
      <c r="E55" s="33" t="s">
        <v>166</v>
      </c>
      <c r="F55" s="198">
        <v>2021</v>
      </c>
      <c r="G55" s="85">
        <f t="shared" ref="G55:G57" si="7">I55</f>
        <v>125200</v>
      </c>
      <c r="H55" s="136">
        <v>0</v>
      </c>
      <c r="I55" s="85">
        <v>125200</v>
      </c>
      <c r="J55" s="198"/>
      <c r="K55" s="58">
        <v>2033</v>
      </c>
      <c r="L55" s="105">
        <v>123880.86</v>
      </c>
      <c r="M55" s="105">
        <f>I55-L55</f>
        <v>1319.1399999999994</v>
      </c>
    </row>
    <row r="56" spans="1:52" s="137" customFormat="1" ht="47.25" x14ac:dyDescent="0.25">
      <c r="A56" s="316"/>
      <c r="B56" s="317"/>
      <c r="C56" s="316"/>
      <c r="D56" s="321"/>
      <c r="E56" s="33" t="s">
        <v>165</v>
      </c>
      <c r="F56" s="198">
        <v>2021</v>
      </c>
      <c r="G56" s="85">
        <f t="shared" si="7"/>
        <v>36750</v>
      </c>
      <c r="H56" s="136">
        <v>0</v>
      </c>
      <c r="I56" s="85">
        <v>36750</v>
      </c>
      <c r="J56" s="198"/>
      <c r="K56" s="58">
        <v>2039</v>
      </c>
      <c r="L56" s="105">
        <v>36750</v>
      </c>
      <c r="M56" s="105">
        <f>I56-L56</f>
        <v>0</v>
      </c>
    </row>
    <row r="57" spans="1:52" s="137" customFormat="1" ht="47.25" x14ac:dyDescent="0.25">
      <c r="A57" s="316"/>
      <c r="B57" s="317"/>
      <c r="C57" s="316"/>
      <c r="D57" s="321"/>
      <c r="E57" s="33" t="s">
        <v>164</v>
      </c>
      <c r="F57" s="198">
        <v>2021</v>
      </c>
      <c r="G57" s="85">
        <f t="shared" si="7"/>
        <v>49766</v>
      </c>
      <c r="H57" s="136">
        <v>0</v>
      </c>
      <c r="I57" s="85">
        <v>49766</v>
      </c>
      <c r="J57" s="198"/>
      <c r="K57" s="58">
        <v>2040</v>
      </c>
      <c r="L57" s="105">
        <v>49766</v>
      </c>
      <c r="M57" s="105">
        <f>I57-L57</f>
        <v>0</v>
      </c>
    </row>
    <row r="58" spans="1:52" s="137" customFormat="1" ht="31.5" x14ac:dyDescent="0.25">
      <c r="A58" s="316"/>
      <c r="B58" s="317"/>
      <c r="C58" s="316"/>
      <c r="D58" s="321"/>
      <c r="E58" s="33" t="s">
        <v>303</v>
      </c>
      <c r="F58" s="198">
        <v>2021</v>
      </c>
      <c r="G58" s="85">
        <v>559426</v>
      </c>
      <c r="H58" s="136">
        <v>0</v>
      </c>
      <c r="I58" s="85">
        <v>559426</v>
      </c>
      <c r="J58" s="198"/>
      <c r="K58" s="58">
        <v>2189</v>
      </c>
      <c r="L58" s="62">
        <f>515000+31296.2</f>
        <v>546296.19999999995</v>
      </c>
      <c r="M58" s="105">
        <f t="shared" ref="M58:M60" si="8">I58-L58</f>
        <v>13129.800000000047</v>
      </c>
    </row>
    <row r="59" spans="1:52" s="137" customFormat="1" ht="18.75" x14ac:dyDescent="0.25">
      <c r="A59" s="316"/>
      <c r="B59" s="317"/>
      <c r="C59" s="316"/>
      <c r="D59" s="321"/>
      <c r="E59" s="33" t="s">
        <v>10</v>
      </c>
      <c r="F59" s="224">
        <v>2021</v>
      </c>
      <c r="G59" s="85">
        <v>0</v>
      </c>
      <c r="H59" s="136">
        <v>0</v>
      </c>
      <c r="I59" s="85">
        <f>2075000+170000-49000</f>
        <v>2196000</v>
      </c>
      <c r="J59" s="224"/>
      <c r="K59" s="58">
        <v>2038</v>
      </c>
      <c r="L59" s="62">
        <f>929982+1266018</f>
        <v>2196000</v>
      </c>
      <c r="M59" s="105">
        <f t="shared" si="8"/>
        <v>0</v>
      </c>
    </row>
    <row r="60" spans="1:52" s="137" customFormat="1" ht="18.75" x14ac:dyDescent="0.25">
      <c r="A60" s="316"/>
      <c r="B60" s="317"/>
      <c r="C60" s="316"/>
      <c r="D60" s="321"/>
      <c r="E60" s="6" t="s">
        <v>227</v>
      </c>
      <c r="F60" s="224">
        <v>2021</v>
      </c>
      <c r="G60" s="85">
        <f>I60</f>
        <v>49000</v>
      </c>
      <c r="H60" s="136">
        <v>0</v>
      </c>
      <c r="I60" s="85">
        <f>49000</f>
        <v>49000</v>
      </c>
      <c r="J60" s="224"/>
      <c r="K60" s="58">
        <v>2145</v>
      </c>
      <c r="L60" s="62">
        <v>27226.76</v>
      </c>
      <c r="M60" s="105">
        <f t="shared" si="8"/>
        <v>21773.24</v>
      </c>
    </row>
    <row r="61" spans="1:52" s="143" customFormat="1" ht="31.5" x14ac:dyDescent="0.2">
      <c r="A61" s="318"/>
      <c r="B61" s="319"/>
      <c r="C61" s="320"/>
      <c r="D61" s="46" t="s">
        <v>291</v>
      </c>
      <c r="E61" s="141"/>
      <c r="F61" s="43" t="s">
        <v>7</v>
      </c>
      <c r="G61" s="81" t="s">
        <v>7</v>
      </c>
      <c r="H61" s="81" t="s">
        <v>7</v>
      </c>
      <c r="I61" s="81">
        <f>SUM(I62:I63)</f>
        <v>5014642</v>
      </c>
      <c r="J61" s="43" t="s">
        <v>7</v>
      </c>
      <c r="K61" s="149"/>
      <c r="L61" s="150"/>
      <c r="M61" s="105"/>
    </row>
    <row r="62" spans="1:52" s="137" customFormat="1" ht="47.25" x14ac:dyDescent="0.2">
      <c r="A62" s="272" t="s">
        <v>77</v>
      </c>
      <c r="B62" s="37">
        <v>2111</v>
      </c>
      <c r="C62" s="272" t="s">
        <v>79</v>
      </c>
      <c r="D62" s="269" t="s">
        <v>78</v>
      </c>
      <c r="E62" s="103" t="s">
        <v>10</v>
      </c>
      <c r="F62" s="279">
        <v>2021</v>
      </c>
      <c r="G62" s="85">
        <v>0</v>
      </c>
      <c r="H62" s="136">
        <v>0</v>
      </c>
      <c r="I62" s="85">
        <f>600000+791091</f>
        <v>1391091</v>
      </c>
      <c r="J62" s="279"/>
      <c r="K62" s="58">
        <v>2050</v>
      </c>
      <c r="L62" s="105">
        <f>510000+65000</f>
        <v>575000</v>
      </c>
      <c r="M62" s="105">
        <f>I62-L62</f>
        <v>816091</v>
      </c>
      <c r="N62" s="137" t="s">
        <v>211</v>
      </c>
    </row>
    <row r="63" spans="1:52" s="137" customFormat="1" ht="34.5" customHeight="1" x14ac:dyDescent="0.2">
      <c r="A63" s="251" t="s">
        <v>28</v>
      </c>
      <c r="B63" s="37">
        <v>7322</v>
      </c>
      <c r="C63" s="251" t="s">
        <v>199</v>
      </c>
      <c r="D63" s="250" t="s">
        <v>62</v>
      </c>
      <c r="E63" s="103" t="s">
        <v>204</v>
      </c>
      <c r="F63" s="252">
        <v>2021</v>
      </c>
      <c r="G63" s="85">
        <v>3696403</v>
      </c>
      <c r="H63" s="136">
        <v>0</v>
      </c>
      <c r="I63" s="85">
        <v>3623551</v>
      </c>
      <c r="J63" s="252"/>
      <c r="K63" s="58">
        <v>2118</v>
      </c>
      <c r="L63" s="62">
        <f>49580+554013.48+1278389.18+798148.05+821623.06+24355+35311.36+62130.87</f>
        <v>3623551</v>
      </c>
      <c r="M63" s="105">
        <f>I63-L63</f>
        <v>0</v>
      </c>
    </row>
    <row r="64" spans="1:52" s="143" customFormat="1" ht="46.5" customHeight="1" x14ac:dyDescent="0.2">
      <c r="A64" s="318"/>
      <c r="B64" s="319"/>
      <c r="C64" s="320"/>
      <c r="D64" s="46" t="s">
        <v>292</v>
      </c>
      <c r="E64" s="141"/>
      <c r="F64" s="43" t="s">
        <v>7</v>
      </c>
      <c r="G64" s="81" t="s">
        <v>7</v>
      </c>
      <c r="H64" s="81" t="s">
        <v>7</v>
      </c>
      <c r="I64" s="81">
        <f>SUM(I65)</f>
        <v>1355500</v>
      </c>
      <c r="J64" s="43" t="s">
        <v>7</v>
      </c>
      <c r="K64" s="169"/>
      <c r="L64" s="170"/>
      <c r="M64" s="171"/>
    </row>
    <row r="65" spans="1:52" s="137" customFormat="1" ht="31.5" x14ac:dyDescent="0.25">
      <c r="A65" s="196" t="s">
        <v>48</v>
      </c>
      <c r="B65" s="197">
        <v>2080</v>
      </c>
      <c r="C65" s="196" t="s">
        <v>49</v>
      </c>
      <c r="D65" s="140" t="s">
        <v>50</v>
      </c>
      <c r="E65" s="103" t="s">
        <v>10</v>
      </c>
      <c r="F65" s="198">
        <v>2021</v>
      </c>
      <c r="G65" s="85">
        <v>0</v>
      </c>
      <c r="H65" s="136">
        <v>0</v>
      </c>
      <c r="I65" s="85">
        <f>1268198+87302</f>
        <v>1355500</v>
      </c>
      <c r="J65" s="198"/>
      <c r="K65" s="58">
        <v>2037</v>
      </c>
      <c r="L65" s="62">
        <v>1352300</v>
      </c>
      <c r="M65" s="105">
        <f>I65-L65</f>
        <v>3200</v>
      </c>
    </row>
    <row r="66" spans="1:52" s="144" customFormat="1" ht="15.75" x14ac:dyDescent="0.2">
      <c r="A66" s="318"/>
      <c r="B66" s="319"/>
      <c r="C66" s="320"/>
      <c r="D66" s="39" t="s">
        <v>294</v>
      </c>
      <c r="E66" s="141"/>
      <c r="F66" s="43" t="s">
        <v>7</v>
      </c>
      <c r="G66" s="81" t="s">
        <v>7</v>
      </c>
      <c r="H66" s="81" t="s">
        <v>7</v>
      </c>
      <c r="I66" s="81">
        <f>I67</f>
        <v>538024</v>
      </c>
      <c r="J66" s="43" t="s">
        <v>7</v>
      </c>
      <c r="K66" s="146"/>
      <c r="L66" s="147"/>
      <c r="M66" s="148"/>
      <c r="N66" s="143"/>
      <c r="O66" s="143"/>
      <c r="P66" s="143"/>
      <c r="Q66" s="143"/>
      <c r="R66" s="143"/>
      <c r="S66" s="143"/>
      <c r="T66" s="143"/>
      <c r="U66" s="143"/>
      <c r="V66" s="143"/>
      <c r="W66" s="143"/>
      <c r="X66" s="143"/>
      <c r="Y66" s="143"/>
      <c r="Z66" s="143"/>
      <c r="AA66" s="143"/>
      <c r="AB66" s="143"/>
      <c r="AC66" s="143"/>
      <c r="AD66" s="143"/>
      <c r="AE66" s="143"/>
      <c r="AF66" s="143"/>
      <c r="AG66" s="143"/>
      <c r="AH66" s="143"/>
      <c r="AI66" s="143"/>
      <c r="AJ66" s="143"/>
      <c r="AK66" s="143"/>
      <c r="AL66" s="143"/>
      <c r="AM66" s="143"/>
      <c r="AN66" s="143"/>
      <c r="AO66" s="143"/>
      <c r="AP66" s="143"/>
      <c r="AQ66" s="143"/>
      <c r="AR66" s="143"/>
      <c r="AS66" s="143"/>
      <c r="AT66" s="143"/>
      <c r="AU66" s="143"/>
      <c r="AV66" s="143"/>
      <c r="AW66" s="143"/>
      <c r="AX66" s="143"/>
      <c r="AY66" s="143"/>
      <c r="AZ66" s="143"/>
    </row>
    <row r="67" spans="1:52" s="137" customFormat="1" ht="31.5" x14ac:dyDescent="0.2">
      <c r="A67" s="178" t="s">
        <v>11</v>
      </c>
      <c r="B67" s="37">
        <v>6030</v>
      </c>
      <c r="C67" s="178" t="s">
        <v>18</v>
      </c>
      <c r="D67" s="48" t="s">
        <v>19</v>
      </c>
      <c r="E67" s="15" t="s">
        <v>293</v>
      </c>
      <c r="F67" s="30">
        <v>2021</v>
      </c>
      <c r="G67" s="85">
        <v>0</v>
      </c>
      <c r="H67" s="136">
        <v>0</v>
      </c>
      <c r="I67" s="85">
        <v>538024</v>
      </c>
      <c r="J67" s="30"/>
      <c r="K67" s="58">
        <v>2179</v>
      </c>
      <c r="L67" s="62">
        <v>538024</v>
      </c>
      <c r="M67" s="105">
        <f>I67-L67</f>
        <v>0</v>
      </c>
    </row>
    <row r="68" spans="1:52" s="144" customFormat="1" ht="18.75" x14ac:dyDescent="0.25">
      <c r="A68" s="151" t="s">
        <v>171</v>
      </c>
      <c r="B68" s="152"/>
      <c r="C68" s="152"/>
      <c r="D68" s="35" t="s">
        <v>71</v>
      </c>
      <c r="E68" s="36"/>
      <c r="F68" s="43" t="s">
        <v>7</v>
      </c>
      <c r="G68" s="81" t="s">
        <v>7</v>
      </c>
      <c r="H68" s="81" t="s">
        <v>7</v>
      </c>
      <c r="I68" s="81">
        <f>SUM(I69:I99)</f>
        <v>159180864</v>
      </c>
      <c r="J68" s="43" t="s">
        <v>7</v>
      </c>
      <c r="K68" s="153"/>
      <c r="L68" s="154"/>
      <c r="M68" s="155"/>
    </row>
    <row r="69" spans="1:52" s="137" customFormat="1" ht="61.5" customHeight="1" x14ac:dyDescent="0.25">
      <c r="A69" s="156" t="s">
        <v>273</v>
      </c>
      <c r="B69" s="157">
        <v>1021</v>
      </c>
      <c r="C69" s="156" t="s">
        <v>217</v>
      </c>
      <c r="D69" s="183" t="s">
        <v>274</v>
      </c>
      <c r="E69" s="96" t="s">
        <v>359</v>
      </c>
      <c r="F69" s="30">
        <v>2021</v>
      </c>
      <c r="G69" s="85">
        <v>0</v>
      </c>
      <c r="H69" s="136">
        <v>0</v>
      </c>
      <c r="I69" s="85">
        <v>248352</v>
      </c>
      <c r="J69" s="30"/>
      <c r="K69" s="58">
        <v>2173</v>
      </c>
      <c r="L69" s="62">
        <f>49852+198500</f>
        <v>248352</v>
      </c>
      <c r="M69" s="105">
        <f t="shared" ref="M69:M75" si="9">I69-L69</f>
        <v>0</v>
      </c>
    </row>
    <row r="70" spans="1:52" s="137" customFormat="1" ht="31.5" x14ac:dyDescent="0.25">
      <c r="A70" s="316" t="s">
        <v>23</v>
      </c>
      <c r="B70" s="317">
        <v>7321</v>
      </c>
      <c r="C70" s="315" t="s">
        <v>24</v>
      </c>
      <c r="D70" s="317" t="s">
        <v>46</v>
      </c>
      <c r="E70" s="33" t="s">
        <v>191</v>
      </c>
      <c r="F70" s="216">
        <v>2021</v>
      </c>
      <c r="G70" s="85">
        <f>I70</f>
        <v>3573300</v>
      </c>
      <c r="H70" s="90">
        <v>0</v>
      </c>
      <c r="I70" s="85">
        <v>3573300</v>
      </c>
      <c r="J70" s="216"/>
      <c r="K70" s="58">
        <v>2015</v>
      </c>
      <c r="L70" s="62">
        <f>1247476.66+1408612.75+786849.71</f>
        <v>3442939.12</v>
      </c>
      <c r="M70" s="105">
        <f t="shared" si="9"/>
        <v>130360.87999999989</v>
      </c>
    </row>
    <row r="71" spans="1:52" s="137" customFormat="1" ht="31.5" x14ac:dyDescent="0.25">
      <c r="A71" s="316"/>
      <c r="B71" s="317"/>
      <c r="C71" s="315"/>
      <c r="D71" s="317"/>
      <c r="E71" s="33" t="s">
        <v>310</v>
      </c>
      <c r="F71" s="216">
        <v>2021</v>
      </c>
      <c r="G71" s="85">
        <v>3573300</v>
      </c>
      <c r="H71" s="90">
        <v>0</v>
      </c>
      <c r="I71" s="85">
        <v>49668</v>
      </c>
      <c r="J71" s="216"/>
      <c r="K71" s="58">
        <v>2015</v>
      </c>
      <c r="L71" s="62">
        <v>49668</v>
      </c>
      <c r="M71" s="105">
        <f t="shared" si="9"/>
        <v>0</v>
      </c>
    </row>
    <row r="72" spans="1:52" s="137" customFormat="1" ht="31.5" x14ac:dyDescent="0.25">
      <c r="A72" s="316"/>
      <c r="B72" s="317"/>
      <c r="C72" s="315"/>
      <c r="D72" s="317"/>
      <c r="E72" s="33" t="s">
        <v>311</v>
      </c>
      <c r="F72" s="216">
        <v>2021</v>
      </c>
      <c r="G72" s="85">
        <v>3573300</v>
      </c>
      <c r="H72" s="90">
        <v>0</v>
      </c>
      <c r="I72" s="85">
        <v>49900</v>
      </c>
      <c r="J72" s="216"/>
      <c r="K72" s="58">
        <v>2015</v>
      </c>
      <c r="L72" s="62">
        <f>20994.62+18441.59+10463.79</f>
        <v>49900</v>
      </c>
      <c r="M72" s="105">
        <f t="shared" si="9"/>
        <v>0</v>
      </c>
    </row>
    <row r="73" spans="1:52" s="137" customFormat="1" ht="31.5" x14ac:dyDescent="0.25">
      <c r="A73" s="316"/>
      <c r="B73" s="317"/>
      <c r="C73" s="315"/>
      <c r="D73" s="317"/>
      <c r="E73" s="33" t="s">
        <v>44</v>
      </c>
      <c r="F73" s="216">
        <v>2021</v>
      </c>
      <c r="G73" s="85">
        <f>I73</f>
        <v>0</v>
      </c>
      <c r="H73" s="90">
        <v>0</v>
      </c>
      <c r="I73" s="85">
        <f>3960000-49990-3910010</f>
        <v>0</v>
      </c>
      <c r="J73" s="216"/>
      <c r="K73" s="58">
        <v>2016</v>
      </c>
      <c r="L73" s="105"/>
      <c r="M73" s="105">
        <f t="shared" si="9"/>
        <v>0</v>
      </c>
    </row>
    <row r="74" spans="1:52" s="137" customFormat="1" ht="31.5" x14ac:dyDescent="0.25">
      <c r="A74" s="316"/>
      <c r="B74" s="317"/>
      <c r="C74" s="315"/>
      <c r="D74" s="317"/>
      <c r="E74" s="33" t="s">
        <v>190</v>
      </c>
      <c r="F74" s="224" t="s">
        <v>179</v>
      </c>
      <c r="G74" s="85">
        <v>158216750</v>
      </c>
      <c r="H74" s="90">
        <v>0</v>
      </c>
      <c r="I74" s="85">
        <f>26357340-10000000-486109+307000</f>
        <v>16178231</v>
      </c>
      <c r="J74" s="224"/>
      <c r="K74" s="58">
        <v>2017</v>
      </c>
      <c r="L74" s="62">
        <f>3166666.67+16237.69+591828.1+2989.69+1749005.46+8945.73</f>
        <v>5535673.3399999999</v>
      </c>
      <c r="M74" s="105">
        <f t="shared" si="9"/>
        <v>10642557.66</v>
      </c>
    </row>
    <row r="75" spans="1:52" s="137" customFormat="1" ht="31.5" x14ac:dyDescent="0.25">
      <c r="A75" s="316"/>
      <c r="B75" s="317"/>
      <c r="C75" s="315"/>
      <c r="D75" s="317"/>
      <c r="E75" s="33" t="s">
        <v>232</v>
      </c>
      <c r="F75" s="216">
        <v>2021</v>
      </c>
      <c r="G75" s="85">
        <f>I75</f>
        <v>1180246</v>
      </c>
      <c r="H75" s="90">
        <v>0</v>
      </c>
      <c r="I75" s="85">
        <f>123000+1057246</f>
        <v>1180246</v>
      </c>
      <c r="J75" s="216"/>
      <c r="K75" s="58">
        <v>2035</v>
      </c>
      <c r="L75" s="62">
        <f>430789.79+749456.21</f>
        <v>1180246</v>
      </c>
      <c r="M75" s="105">
        <f t="shared" si="9"/>
        <v>0</v>
      </c>
    </row>
    <row r="76" spans="1:52" s="137" customFormat="1" ht="31.5" x14ac:dyDescent="0.25">
      <c r="A76" s="316"/>
      <c r="B76" s="317"/>
      <c r="C76" s="315"/>
      <c r="D76" s="317"/>
      <c r="E76" s="33" t="s">
        <v>309</v>
      </c>
      <c r="F76" s="216">
        <v>2021</v>
      </c>
      <c r="G76" s="85">
        <v>48890</v>
      </c>
      <c r="H76" s="90">
        <v>0</v>
      </c>
      <c r="I76" s="85">
        <v>48890</v>
      </c>
      <c r="J76" s="216"/>
      <c r="K76" s="58">
        <v>2194</v>
      </c>
      <c r="L76" s="62">
        <v>48890</v>
      </c>
      <c r="M76" s="105">
        <f t="shared" ref="M76:M84" si="10">I76-L76</f>
        <v>0</v>
      </c>
    </row>
    <row r="77" spans="1:52" s="137" customFormat="1" ht="27" customHeight="1" x14ac:dyDescent="0.25">
      <c r="A77" s="316"/>
      <c r="B77" s="317"/>
      <c r="C77" s="315"/>
      <c r="D77" s="317"/>
      <c r="E77" s="33" t="s">
        <v>192</v>
      </c>
      <c r="F77" s="216" t="s">
        <v>179</v>
      </c>
      <c r="G77" s="85">
        <v>67620674</v>
      </c>
      <c r="H77" s="90">
        <v>0.3</v>
      </c>
      <c r="I77" s="85">
        <v>2714160</v>
      </c>
      <c r="J77" s="216"/>
      <c r="K77" s="58">
        <v>2003</v>
      </c>
      <c r="L77" s="105">
        <v>2714159.04</v>
      </c>
      <c r="M77" s="105">
        <f t="shared" si="10"/>
        <v>0.9599999999627471</v>
      </c>
    </row>
    <row r="78" spans="1:52" s="137" customFormat="1" ht="34.5" customHeight="1" x14ac:dyDescent="0.25">
      <c r="A78" s="316"/>
      <c r="B78" s="317"/>
      <c r="C78" s="315"/>
      <c r="D78" s="317"/>
      <c r="E78" s="33" t="s">
        <v>235</v>
      </c>
      <c r="F78" s="216">
        <v>2021</v>
      </c>
      <c r="G78" s="85">
        <v>289310</v>
      </c>
      <c r="H78" s="90">
        <v>0</v>
      </c>
      <c r="I78" s="85">
        <v>289310</v>
      </c>
      <c r="J78" s="216"/>
      <c r="K78" s="58">
        <v>2136</v>
      </c>
      <c r="L78" s="105">
        <v>289309.64</v>
      </c>
      <c r="M78" s="105">
        <f t="shared" si="10"/>
        <v>0.35999999998603016</v>
      </c>
    </row>
    <row r="79" spans="1:52" s="137" customFormat="1" ht="43.5" customHeight="1" x14ac:dyDescent="0.25">
      <c r="A79" s="316"/>
      <c r="B79" s="317"/>
      <c r="C79" s="315"/>
      <c r="D79" s="317"/>
      <c r="E79" s="33" t="s">
        <v>236</v>
      </c>
      <c r="F79" s="216">
        <v>2021</v>
      </c>
      <c r="G79" s="190">
        <v>476280</v>
      </c>
      <c r="H79" s="189">
        <v>0</v>
      </c>
      <c r="I79" s="190">
        <v>476280</v>
      </c>
      <c r="J79" s="187"/>
      <c r="K79" s="58">
        <v>2137</v>
      </c>
      <c r="L79" s="62">
        <f>72446.73+47274.08+30223.94+35140.62+43102.39+56236.29+20896.84+8986.32+11290.92+6449.53+144232.34</f>
        <v>476280</v>
      </c>
      <c r="M79" s="105">
        <f t="shared" si="10"/>
        <v>0</v>
      </c>
      <c r="N79" s="137">
        <f>72446.73+47274.08+30223.94+35140.62+43102.39+56236.29+20896.84+8986.32+11290.92+6449.53+144233.07</f>
        <v>476280.73000000004</v>
      </c>
      <c r="O79" s="173">
        <f>I79-N79</f>
        <v>-0.73000000003958121</v>
      </c>
    </row>
    <row r="80" spans="1:52" s="137" customFormat="1" ht="43.5" customHeight="1" x14ac:dyDescent="0.25">
      <c r="A80" s="316"/>
      <c r="B80" s="317"/>
      <c r="C80" s="315"/>
      <c r="D80" s="317"/>
      <c r="E80" s="33" t="s">
        <v>349</v>
      </c>
      <c r="F80" s="219">
        <v>2021</v>
      </c>
      <c r="G80" s="85">
        <v>147286</v>
      </c>
      <c r="H80" s="90">
        <v>0</v>
      </c>
      <c r="I80" s="85">
        <v>147286</v>
      </c>
      <c r="J80" s="219"/>
      <c r="K80" s="58">
        <v>2107</v>
      </c>
      <c r="L80" s="62">
        <v>147285.53</v>
      </c>
      <c r="M80" s="105">
        <f>I80-L80</f>
        <v>0.47000000000116415</v>
      </c>
    </row>
    <row r="81" spans="1:52" s="137" customFormat="1" ht="39" customHeight="1" x14ac:dyDescent="0.25">
      <c r="A81" s="316"/>
      <c r="B81" s="317"/>
      <c r="C81" s="315"/>
      <c r="D81" s="317"/>
      <c r="E81" s="33" t="s">
        <v>195</v>
      </c>
      <c r="F81" s="221">
        <v>2021</v>
      </c>
      <c r="G81" s="85">
        <v>13801319</v>
      </c>
      <c r="H81" s="90">
        <v>0</v>
      </c>
      <c r="I81" s="85">
        <v>1483886</v>
      </c>
      <c r="J81" s="221"/>
      <c r="K81" s="58">
        <v>2046</v>
      </c>
      <c r="L81" s="62">
        <f>289024.07+196732.48+614598.72+383530.73</f>
        <v>1483886</v>
      </c>
      <c r="M81" s="105">
        <f t="shared" si="10"/>
        <v>0</v>
      </c>
    </row>
    <row r="82" spans="1:52" s="137" customFormat="1" ht="41.25" customHeight="1" x14ac:dyDescent="0.25">
      <c r="A82" s="316"/>
      <c r="B82" s="317"/>
      <c r="C82" s="315"/>
      <c r="D82" s="317"/>
      <c r="E82" s="33" t="s">
        <v>233</v>
      </c>
      <c r="F82" s="216">
        <v>2021</v>
      </c>
      <c r="G82" s="85">
        <v>134450</v>
      </c>
      <c r="H82" s="90">
        <v>0</v>
      </c>
      <c r="I82" s="85">
        <v>134450</v>
      </c>
      <c r="J82" s="216"/>
      <c r="K82" s="58">
        <v>2134</v>
      </c>
      <c r="L82" s="62">
        <f>13323.43+36789.05+4249.64+8972.89+65435.62+5679.37</f>
        <v>134450</v>
      </c>
      <c r="M82" s="105">
        <f t="shared" si="10"/>
        <v>0</v>
      </c>
    </row>
    <row r="83" spans="1:52" s="137" customFormat="1" ht="47.25" customHeight="1" x14ac:dyDescent="0.25">
      <c r="A83" s="316"/>
      <c r="B83" s="317"/>
      <c r="C83" s="315"/>
      <c r="D83" s="317"/>
      <c r="E83" s="33" t="s">
        <v>234</v>
      </c>
      <c r="F83" s="216">
        <v>2021</v>
      </c>
      <c r="G83" s="85">
        <v>38880</v>
      </c>
      <c r="H83" s="90">
        <v>0</v>
      </c>
      <c r="I83" s="85">
        <v>38880</v>
      </c>
      <c r="J83" s="216"/>
      <c r="K83" s="58">
        <v>2135</v>
      </c>
      <c r="L83" s="105">
        <f>17820+21060</f>
        <v>38880</v>
      </c>
      <c r="M83" s="105">
        <f t="shared" si="10"/>
        <v>0</v>
      </c>
    </row>
    <row r="84" spans="1:52" s="137" customFormat="1" ht="47.25" customHeight="1" x14ac:dyDescent="0.25">
      <c r="A84" s="316"/>
      <c r="B84" s="317"/>
      <c r="C84" s="315"/>
      <c r="D84" s="317"/>
      <c r="E84" s="33" t="s">
        <v>312</v>
      </c>
      <c r="F84" s="216">
        <v>2021</v>
      </c>
      <c r="G84" s="85">
        <v>80066712</v>
      </c>
      <c r="H84" s="90">
        <v>0</v>
      </c>
      <c r="I84" s="85">
        <v>173340</v>
      </c>
      <c r="J84" s="216"/>
      <c r="K84" s="58">
        <v>2138</v>
      </c>
      <c r="L84" s="62">
        <v>173340</v>
      </c>
      <c r="M84" s="105">
        <f t="shared" si="10"/>
        <v>0</v>
      </c>
    </row>
    <row r="85" spans="1:52" s="137" customFormat="1" ht="46.5" customHeight="1" x14ac:dyDescent="0.25">
      <c r="A85" s="316"/>
      <c r="B85" s="317"/>
      <c r="C85" s="315"/>
      <c r="D85" s="317"/>
      <c r="E85" s="33" t="s">
        <v>238</v>
      </c>
      <c r="F85" s="216">
        <v>2021</v>
      </c>
      <c r="G85" s="85">
        <v>98099</v>
      </c>
      <c r="H85" s="90">
        <v>0</v>
      </c>
      <c r="I85" s="85">
        <v>98099</v>
      </c>
      <c r="J85" s="216"/>
      <c r="K85" s="58">
        <v>2139</v>
      </c>
      <c r="L85" s="105"/>
      <c r="M85" s="105">
        <f t="shared" ref="M85:M93" si="11">I85-L85</f>
        <v>98099</v>
      </c>
    </row>
    <row r="86" spans="1:52" s="137" customFormat="1" ht="42.75" customHeight="1" x14ac:dyDescent="0.25">
      <c r="A86" s="316"/>
      <c r="B86" s="317"/>
      <c r="C86" s="315"/>
      <c r="D86" s="317"/>
      <c r="E86" s="33" t="s">
        <v>237</v>
      </c>
      <c r="F86" s="216">
        <v>2021</v>
      </c>
      <c r="G86" s="85">
        <v>894230</v>
      </c>
      <c r="H86" s="90">
        <v>0</v>
      </c>
      <c r="I86" s="85">
        <v>894230</v>
      </c>
      <c r="J86" s="216"/>
      <c r="K86" s="58">
        <v>2138</v>
      </c>
      <c r="L86" s="62">
        <f>136520+221804.36+210569.14+91048+92371.84+141916.66</f>
        <v>894230</v>
      </c>
      <c r="M86" s="105">
        <f t="shared" si="11"/>
        <v>0</v>
      </c>
    </row>
    <row r="87" spans="1:52" s="137" customFormat="1" ht="42.75" customHeight="1" x14ac:dyDescent="0.25">
      <c r="A87" s="316"/>
      <c r="B87" s="317"/>
      <c r="C87" s="315"/>
      <c r="D87" s="317"/>
      <c r="E87" s="33" t="s">
        <v>345</v>
      </c>
      <c r="F87" s="219">
        <v>2021</v>
      </c>
      <c r="G87" s="85">
        <v>239760</v>
      </c>
      <c r="H87" s="90">
        <v>0</v>
      </c>
      <c r="I87" s="85">
        <v>239760</v>
      </c>
      <c r="J87" s="219"/>
      <c r="K87" s="58">
        <v>2138</v>
      </c>
      <c r="L87" s="62">
        <v>239760</v>
      </c>
      <c r="M87" s="105">
        <f t="shared" si="11"/>
        <v>0</v>
      </c>
    </row>
    <row r="88" spans="1:52" s="137" customFormat="1" ht="68.25" customHeight="1" x14ac:dyDescent="0.25">
      <c r="A88" s="316"/>
      <c r="B88" s="317"/>
      <c r="C88" s="315"/>
      <c r="D88" s="317"/>
      <c r="E88" s="33" t="s">
        <v>230</v>
      </c>
      <c r="F88" s="216">
        <v>2021</v>
      </c>
      <c r="G88" s="85">
        <v>127980</v>
      </c>
      <c r="H88" s="90">
        <v>0</v>
      </c>
      <c r="I88" s="85">
        <v>127980</v>
      </c>
      <c r="J88" s="216"/>
      <c r="K88" s="58">
        <v>2132</v>
      </c>
      <c r="L88" s="62">
        <f>18067.16+35825.38+18491.57+2659.99</f>
        <v>75044.099999999991</v>
      </c>
      <c r="M88" s="105">
        <f t="shared" si="11"/>
        <v>52935.900000000009</v>
      </c>
    </row>
    <row r="89" spans="1:52" s="137" customFormat="1" ht="64.5" customHeight="1" x14ac:dyDescent="0.25">
      <c r="A89" s="316"/>
      <c r="B89" s="317"/>
      <c r="C89" s="315"/>
      <c r="D89" s="317"/>
      <c r="E89" s="33" t="s">
        <v>231</v>
      </c>
      <c r="F89" s="216">
        <v>2021</v>
      </c>
      <c r="G89" s="85">
        <v>30780</v>
      </c>
      <c r="H89" s="90">
        <v>0</v>
      </c>
      <c r="I89" s="85">
        <v>30780</v>
      </c>
      <c r="J89" s="216"/>
      <c r="K89" s="58">
        <v>2133</v>
      </c>
      <c r="L89" s="105">
        <f>21060+9720</f>
        <v>30780</v>
      </c>
      <c r="M89" s="105">
        <f t="shared" si="11"/>
        <v>0</v>
      </c>
    </row>
    <row r="90" spans="1:52" s="137" customFormat="1" ht="52.5" customHeight="1" x14ac:dyDescent="0.25">
      <c r="A90" s="316"/>
      <c r="B90" s="317"/>
      <c r="C90" s="315"/>
      <c r="D90" s="317"/>
      <c r="E90" s="33" t="s">
        <v>279</v>
      </c>
      <c r="F90" s="216">
        <v>2021</v>
      </c>
      <c r="G90" s="85">
        <v>165800</v>
      </c>
      <c r="H90" s="90">
        <v>0</v>
      </c>
      <c r="I90" s="85">
        <v>165800</v>
      </c>
      <c r="J90" s="216"/>
      <c r="K90" s="58">
        <v>2172</v>
      </c>
      <c r="L90" s="105"/>
      <c r="M90" s="105">
        <f t="shared" si="11"/>
        <v>165800</v>
      </c>
    </row>
    <row r="91" spans="1:52" s="137" customFormat="1" ht="46.5" customHeight="1" x14ac:dyDescent="0.25">
      <c r="A91" s="316"/>
      <c r="B91" s="317"/>
      <c r="C91" s="315"/>
      <c r="D91" s="317"/>
      <c r="E91" s="33" t="s">
        <v>308</v>
      </c>
      <c r="F91" s="216">
        <v>2021</v>
      </c>
      <c r="G91" s="85">
        <v>3267358</v>
      </c>
      <c r="H91" s="90">
        <v>0</v>
      </c>
      <c r="I91" s="85">
        <v>1263924</v>
      </c>
      <c r="J91" s="216"/>
      <c r="K91" s="58">
        <v>2193</v>
      </c>
      <c r="L91" s="62">
        <f>12702.94+16937.24+351580+260016.56+295934</f>
        <v>937170.74</v>
      </c>
      <c r="M91" s="105">
        <f t="shared" si="11"/>
        <v>326753.26</v>
      </c>
    </row>
    <row r="92" spans="1:52" s="137" customFormat="1" ht="46.5" customHeight="1" x14ac:dyDescent="0.25">
      <c r="A92" s="316"/>
      <c r="B92" s="317"/>
      <c r="C92" s="315"/>
      <c r="D92" s="317"/>
      <c r="E92" s="33" t="s">
        <v>346</v>
      </c>
      <c r="F92" s="219">
        <v>2021</v>
      </c>
      <c r="G92" s="85">
        <v>49756</v>
      </c>
      <c r="H92" s="90">
        <v>0</v>
      </c>
      <c r="I92" s="85">
        <v>49756</v>
      </c>
      <c r="J92" s="219"/>
      <c r="K92" s="58">
        <v>2216</v>
      </c>
      <c r="L92" s="62">
        <v>49756</v>
      </c>
      <c r="M92" s="105">
        <f t="shared" si="11"/>
        <v>0</v>
      </c>
    </row>
    <row r="93" spans="1:52" s="137" customFormat="1" ht="46.5" customHeight="1" x14ac:dyDescent="0.25">
      <c r="A93" s="316"/>
      <c r="B93" s="317"/>
      <c r="C93" s="315"/>
      <c r="D93" s="317"/>
      <c r="E93" s="33" t="s">
        <v>347</v>
      </c>
      <c r="F93" s="219">
        <v>2021</v>
      </c>
      <c r="G93" s="85">
        <v>49307</v>
      </c>
      <c r="H93" s="90">
        <v>0</v>
      </c>
      <c r="I93" s="85">
        <v>49307</v>
      </c>
      <c r="J93" s="219"/>
      <c r="K93" s="58">
        <v>2217</v>
      </c>
      <c r="L93" s="62">
        <v>49307</v>
      </c>
      <c r="M93" s="105">
        <f t="shared" si="11"/>
        <v>0</v>
      </c>
    </row>
    <row r="94" spans="1:52" s="137" customFormat="1" ht="19.5" customHeight="1" x14ac:dyDescent="0.2">
      <c r="A94" s="323" t="s">
        <v>140</v>
      </c>
      <c r="B94" s="324"/>
      <c r="C94" s="324"/>
      <c r="D94" s="324"/>
      <c r="E94" s="324"/>
      <c r="F94" s="324"/>
      <c r="G94" s="324"/>
      <c r="H94" s="324"/>
      <c r="I94" s="324"/>
      <c r="J94" s="325"/>
      <c r="K94" s="158"/>
      <c r="L94" s="159"/>
      <c r="M94" s="160"/>
    </row>
    <row r="95" spans="1:52" s="137" customFormat="1" ht="31.5" x14ac:dyDescent="0.25">
      <c r="A95" s="293" t="s">
        <v>63</v>
      </c>
      <c r="B95" s="295">
        <v>7368</v>
      </c>
      <c r="C95" s="293" t="s">
        <v>5</v>
      </c>
      <c r="D95" s="295" t="s">
        <v>64</v>
      </c>
      <c r="E95" s="33" t="s">
        <v>162</v>
      </c>
      <c r="F95" s="30" t="s">
        <v>179</v>
      </c>
      <c r="G95" s="85">
        <v>67620674</v>
      </c>
      <c r="H95" s="90">
        <v>0.3</v>
      </c>
      <c r="I95" s="85">
        <f>30000000-22754622</f>
        <v>7245378</v>
      </c>
      <c r="J95" s="30"/>
      <c r="K95" s="58">
        <v>2044</v>
      </c>
      <c r="L95" s="106">
        <f>4822676.23+949801.15+1321254.96+151645.66</f>
        <v>7245378.0000000009</v>
      </c>
      <c r="M95" s="105">
        <f t="shared" ref="M95:M102" si="12">I95-L95</f>
        <v>0</v>
      </c>
      <c r="N95" s="6"/>
      <c r="O95" s="6"/>
      <c r="P95" s="6"/>
      <c r="Q95" s="6"/>
      <c r="R95" s="6"/>
      <c r="S95" s="6"/>
      <c r="T95" s="6"/>
      <c r="U95" s="6"/>
      <c r="V95" s="6"/>
      <c r="W95" s="6"/>
      <c r="X95" s="6"/>
      <c r="Y95" s="6"/>
      <c r="Z95" s="6"/>
      <c r="AA95" s="6"/>
      <c r="AB95" s="6"/>
      <c r="AC95" s="6"/>
      <c r="AD95" s="6"/>
      <c r="AE95" s="6"/>
      <c r="AF95" s="6"/>
      <c r="AG95" s="6"/>
      <c r="AH95" s="6"/>
      <c r="AI95" s="6"/>
      <c r="AJ95" s="6"/>
      <c r="AK95" s="6"/>
      <c r="AL95" s="6"/>
      <c r="AM95" s="6"/>
      <c r="AN95" s="6"/>
      <c r="AO95" s="6"/>
      <c r="AP95" s="6"/>
      <c r="AQ95" s="6"/>
      <c r="AR95" s="6"/>
      <c r="AS95" s="6"/>
      <c r="AT95" s="6"/>
      <c r="AU95" s="6"/>
      <c r="AV95" s="6"/>
      <c r="AW95" s="6"/>
      <c r="AX95" s="6"/>
      <c r="AY95" s="6"/>
      <c r="AZ95" s="6"/>
    </row>
    <row r="96" spans="1:52" s="137" customFormat="1" ht="53.25" customHeight="1" x14ac:dyDescent="0.25">
      <c r="A96" s="297"/>
      <c r="B96" s="304"/>
      <c r="C96" s="297"/>
      <c r="D96" s="304"/>
      <c r="E96" s="33" t="s">
        <v>226</v>
      </c>
      <c r="F96" s="30">
        <v>2021</v>
      </c>
      <c r="G96" s="85">
        <v>9513572</v>
      </c>
      <c r="H96" s="90">
        <v>0</v>
      </c>
      <c r="I96" s="85">
        <v>3458984</v>
      </c>
      <c r="J96" s="30"/>
      <c r="K96" s="58">
        <v>2045</v>
      </c>
      <c r="L96" s="106">
        <f>2400009.16+948682.46+110292.38</f>
        <v>3458984</v>
      </c>
      <c r="M96" s="105">
        <f t="shared" si="12"/>
        <v>0</v>
      </c>
      <c r="N96" s="6"/>
      <c r="O96" s="6"/>
      <c r="P96" s="6"/>
      <c r="Q96" s="6"/>
      <c r="R96" s="6"/>
      <c r="S96" s="6"/>
      <c r="T96" s="6"/>
      <c r="U96" s="6"/>
      <c r="V96" s="6"/>
      <c r="W96" s="6"/>
      <c r="X96" s="6"/>
      <c r="Y96" s="6"/>
      <c r="Z96" s="6"/>
      <c r="AA96" s="6"/>
      <c r="AB96" s="6"/>
      <c r="AC96" s="6"/>
      <c r="AD96" s="6"/>
      <c r="AE96" s="6"/>
      <c r="AF96" s="6"/>
      <c r="AG96" s="6"/>
      <c r="AH96" s="6"/>
      <c r="AI96" s="6"/>
      <c r="AJ96" s="6"/>
      <c r="AK96" s="6"/>
      <c r="AL96" s="6"/>
      <c r="AM96" s="6"/>
      <c r="AN96" s="6"/>
      <c r="AO96" s="6"/>
      <c r="AP96" s="6"/>
      <c r="AQ96" s="6"/>
      <c r="AR96" s="6"/>
      <c r="AS96" s="6"/>
      <c r="AT96" s="6"/>
      <c r="AU96" s="6"/>
      <c r="AV96" s="6"/>
      <c r="AW96" s="6"/>
      <c r="AX96" s="6"/>
      <c r="AY96" s="6"/>
      <c r="AZ96" s="6"/>
    </row>
    <row r="97" spans="1:52" s="137" customFormat="1" ht="40.5" customHeight="1" x14ac:dyDescent="0.25">
      <c r="A97" s="297"/>
      <c r="B97" s="304"/>
      <c r="C97" s="297"/>
      <c r="D97" s="304"/>
      <c r="E97" s="161" t="s">
        <v>196</v>
      </c>
      <c r="F97" s="30">
        <v>2021</v>
      </c>
      <c r="G97" s="85">
        <v>13801319</v>
      </c>
      <c r="H97" s="90">
        <v>0</v>
      </c>
      <c r="I97" s="85">
        <v>5970687</v>
      </c>
      <c r="J97" s="30"/>
      <c r="K97" s="58">
        <v>2046</v>
      </c>
      <c r="L97" s="106">
        <f>2730000+2370897.32+869789.68</f>
        <v>5970687</v>
      </c>
      <c r="M97" s="105">
        <f t="shared" si="12"/>
        <v>0</v>
      </c>
      <c r="N97" s="6"/>
      <c r="O97" s="6"/>
      <c r="P97" s="6"/>
      <c r="Q97" s="6"/>
      <c r="R97" s="6"/>
      <c r="S97" s="6"/>
      <c r="T97" s="6"/>
      <c r="U97" s="6"/>
      <c r="V97" s="6"/>
      <c r="W97" s="6"/>
      <c r="X97" s="6"/>
      <c r="Y97" s="6"/>
      <c r="Z97" s="6"/>
      <c r="AA97" s="6"/>
      <c r="AB97" s="6"/>
      <c r="AC97" s="6"/>
      <c r="AD97" s="6"/>
      <c r="AE97" s="6"/>
      <c r="AF97" s="6"/>
      <c r="AG97" s="6"/>
      <c r="AH97" s="6"/>
      <c r="AI97" s="6"/>
      <c r="AJ97" s="6"/>
      <c r="AK97" s="6"/>
      <c r="AL97" s="6"/>
      <c r="AM97" s="6"/>
      <c r="AN97" s="6"/>
      <c r="AO97" s="6"/>
      <c r="AP97" s="6"/>
      <c r="AQ97" s="6"/>
      <c r="AR97" s="6"/>
      <c r="AS97" s="6"/>
      <c r="AT97" s="6"/>
      <c r="AU97" s="6"/>
      <c r="AV97" s="6"/>
      <c r="AW97" s="6"/>
      <c r="AX97" s="6"/>
      <c r="AY97" s="6"/>
      <c r="AZ97" s="6"/>
    </row>
    <row r="98" spans="1:52" s="137" customFormat="1" ht="40.5" customHeight="1" x14ac:dyDescent="0.25">
      <c r="A98" s="294"/>
      <c r="B98" s="296"/>
      <c r="C98" s="294"/>
      <c r="D98" s="296"/>
      <c r="E98" s="95" t="s">
        <v>225</v>
      </c>
      <c r="F98" s="30">
        <v>2021</v>
      </c>
      <c r="G98" s="85">
        <v>80066712</v>
      </c>
      <c r="H98" s="90">
        <v>0.6</v>
      </c>
      <c r="I98" s="85">
        <v>30000000</v>
      </c>
      <c r="J98" s="30"/>
      <c r="K98" s="58">
        <v>2129</v>
      </c>
      <c r="L98" s="106">
        <f>14643439.1+15356560.85</f>
        <v>29999999.949999999</v>
      </c>
      <c r="M98" s="105">
        <f t="shared" si="12"/>
        <v>5.000000074505806E-2</v>
      </c>
      <c r="N98" s="6"/>
      <c r="O98" s="6"/>
      <c r="P98" s="6"/>
      <c r="Q98" s="6"/>
      <c r="R98" s="6"/>
      <c r="S98" s="6"/>
      <c r="T98" s="6"/>
      <c r="U98" s="6"/>
      <c r="V98" s="6"/>
      <c r="W98" s="6"/>
      <c r="X98" s="6"/>
      <c r="Y98" s="6"/>
      <c r="Z98" s="6"/>
      <c r="AA98" s="6"/>
      <c r="AB98" s="6"/>
      <c r="AC98" s="6"/>
      <c r="AD98" s="6"/>
      <c r="AE98" s="6"/>
      <c r="AF98" s="6"/>
      <c r="AG98" s="6"/>
      <c r="AH98" s="6"/>
      <c r="AI98" s="6"/>
      <c r="AJ98" s="6"/>
      <c r="AK98" s="6"/>
      <c r="AL98" s="6"/>
      <c r="AM98" s="6"/>
      <c r="AN98" s="6"/>
      <c r="AO98" s="6"/>
      <c r="AP98" s="6"/>
      <c r="AQ98" s="6"/>
      <c r="AR98" s="6"/>
      <c r="AS98" s="6"/>
      <c r="AT98" s="6"/>
      <c r="AU98" s="6"/>
      <c r="AV98" s="6"/>
      <c r="AW98" s="6"/>
      <c r="AX98" s="6"/>
      <c r="AY98" s="6"/>
      <c r="AZ98" s="6"/>
    </row>
    <row r="99" spans="1:52" s="137" customFormat="1" ht="31.5" x14ac:dyDescent="0.25">
      <c r="A99" s="254" t="s">
        <v>136</v>
      </c>
      <c r="B99" s="255">
        <v>7366</v>
      </c>
      <c r="C99" s="256" t="s">
        <v>5</v>
      </c>
      <c r="D99" s="259" t="s">
        <v>137</v>
      </c>
      <c r="E99" s="33" t="s">
        <v>197</v>
      </c>
      <c r="F99" s="261" t="s">
        <v>179</v>
      </c>
      <c r="G99" s="85">
        <v>158216750</v>
      </c>
      <c r="H99" s="90">
        <v>0</v>
      </c>
      <c r="I99" s="85">
        <f>35169947-5169947+52800000</f>
        <v>82800000</v>
      </c>
      <c r="J99" s="261"/>
      <c r="K99" s="58">
        <v>2097</v>
      </c>
      <c r="L99" s="106">
        <v>27537501.16</v>
      </c>
      <c r="M99" s="105">
        <f t="shared" si="12"/>
        <v>55262498.840000004</v>
      </c>
      <c r="N99" s="6"/>
      <c r="O99" s="6"/>
      <c r="P99" s="6"/>
      <c r="Q99" s="6"/>
      <c r="R99" s="6"/>
      <c r="S99" s="6"/>
      <c r="T99" s="6"/>
      <c r="U99" s="6"/>
      <c r="V99" s="6"/>
      <c r="W99" s="6"/>
      <c r="X99" s="6"/>
      <c r="Y99" s="6"/>
      <c r="Z99" s="6"/>
      <c r="AA99" s="6"/>
      <c r="AB99" s="6"/>
      <c r="AC99" s="6"/>
      <c r="AD99" s="6"/>
      <c r="AE99" s="6"/>
      <c r="AF99" s="6"/>
      <c r="AG99" s="6"/>
      <c r="AH99" s="6"/>
      <c r="AI99" s="6"/>
      <c r="AJ99" s="6"/>
      <c r="AK99" s="6"/>
      <c r="AL99" s="6"/>
      <c r="AM99" s="6"/>
      <c r="AN99" s="6"/>
      <c r="AO99" s="6"/>
      <c r="AP99" s="6"/>
      <c r="AQ99" s="6"/>
      <c r="AR99" s="6"/>
      <c r="AS99" s="6"/>
      <c r="AT99" s="6"/>
      <c r="AU99" s="6"/>
      <c r="AV99" s="6"/>
      <c r="AW99" s="6"/>
      <c r="AX99" s="6"/>
      <c r="AY99" s="6"/>
      <c r="AZ99" s="6"/>
    </row>
    <row r="100" spans="1:52" ht="31.5" x14ac:dyDescent="0.25">
      <c r="A100" s="79" t="s">
        <v>170</v>
      </c>
      <c r="B100" s="34"/>
      <c r="C100" s="34"/>
      <c r="D100" s="35" t="s">
        <v>142</v>
      </c>
      <c r="E100" s="36"/>
      <c r="F100" s="43" t="s">
        <v>7</v>
      </c>
      <c r="G100" s="82" t="s">
        <v>7</v>
      </c>
      <c r="H100" s="82" t="s">
        <v>7</v>
      </c>
      <c r="I100" s="82">
        <f>I101+I102</f>
        <v>995060</v>
      </c>
      <c r="J100" s="88" t="s">
        <v>7</v>
      </c>
      <c r="K100" s="101"/>
      <c r="L100" s="186"/>
      <c r="M100" s="99">
        <f t="shared" si="12"/>
        <v>995060</v>
      </c>
    </row>
    <row r="101" spans="1:52" s="14" customFormat="1" ht="31.5" x14ac:dyDescent="0.25">
      <c r="A101" s="196" t="s">
        <v>143</v>
      </c>
      <c r="B101" s="44">
        <v>7323</v>
      </c>
      <c r="C101" s="199" t="s">
        <v>24</v>
      </c>
      <c r="D101" s="197" t="s">
        <v>144</v>
      </c>
      <c r="E101" s="33" t="s">
        <v>313</v>
      </c>
      <c r="F101" s="198">
        <v>2021</v>
      </c>
      <c r="G101" s="85">
        <f>I101</f>
        <v>860107</v>
      </c>
      <c r="H101" s="91">
        <v>0</v>
      </c>
      <c r="I101" s="85">
        <v>860107</v>
      </c>
      <c r="J101" s="32"/>
      <c r="K101" s="57">
        <v>2195</v>
      </c>
      <c r="L101" s="63">
        <f>807987.71+52119.29</f>
        <v>860107</v>
      </c>
      <c r="M101" s="56">
        <f t="shared" si="12"/>
        <v>0</v>
      </c>
    </row>
    <row r="102" spans="1:52" s="137" customFormat="1" ht="84.75" customHeight="1" x14ac:dyDescent="0.2">
      <c r="A102" s="231" t="s">
        <v>324</v>
      </c>
      <c r="B102" s="44">
        <v>6083</v>
      </c>
      <c r="C102" s="225" t="s">
        <v>32</v>
      </c>
      <c r="D102" s="230" t="s">
        <v>322</v>
      </c>
      <c r="E102" s="15" t="s">
        <v>352</v>
      </c>
      <c r="F102" s="224">
        <v>2021</v>
      </c>
      <c r="G102" s="85">
        <v>629777.4</v>
      </c>
      <c r="H102" s="136">
        <v>0</v>
      </c>
      <c r="I102" s="85">
        <v>134953</v>
      </c>
      <c r="J102" s="224"/>
      <c r="K102" s="58">
        <v>2198</v>
      </c>
      <c r="L102" s="62">
        <v>134952.29999999999</v>
      </c>
      <c r="M102" s="56">
        <f t="shared" si="12"/>
        <v>0.70000000001164153</v>
      </c>
    </row>
    <row r="103" spans="1:52" s="144" customFormat="1" ht="31.5" x14ac:dyDescent="0.25">
      <c r="A103" s="151" t="s">
        <v>174</v>
      </c>
      <c r="B103" s="152"/>
      <c r="C103" s="152"/>
      <c r="D103" s="35" t="s">
        <v>70</v>
      </c>
      <c r="E103" s="36"/>
      <c r="F103" s="43" t="s">
        <v>7</v>
      </c>
      <c r="G103" s="81" t="s">
        <v>7</v>
      </c>
      <c r="H103" s="81" t="s">
        <v>7</v>
      </c>
      <c r="I103" s="81">
        <f>SUM(I104:I108)</f>
        <v>1087400</v>
      </c>
      <c r="J103" s="43" t="s">
        <v>7</v>
      </c>
      <c r="K103" s="162"/>
      <c r="L103" s="163"/>
      <c r="M103" s="105"/>
    </row>
    <row r="104" spans="1:52" s="137" customFormat="1" ht="35.25" customHeight="1" x14ac:dyDescent="0.25">
      <c r="A104" s="293" t="s">
        <v>67</v>
      </c>
      <c r="B104" s="291" t="s">
        <v>66</v>
      </c>
      <c r="C104" s="291" t="s">
        <v>16</v>
      </c>
      <c r="D104" s="295" t="s">
        <v>68</v>
      </c>
      <c r="E104" s="33" t="s">
        <v>69</v>
      </c>
      <c r="F104" s="30">
        <v>2021</v>
      </c>
      <c r="G104" s="85">
        <f>I104</f>
        <v>732113.91</v>
      </c>
      <c r="H104" s="90">
        <v>0</v>
      </c>
      <c r="I104" s="85">
        <f>866000-133886.09</f>
        <v>732113.91</v>
      </c>
      <c r="J104" s="30"/>
      <c r="K104" s="58">
        <v>2048</v>
      </c>
      <c r="L104" s="105">
        <f>49516+237154.63+283962.35+161480.93</f>
        <v>732113.90999999992</v>
      </c>
      <c r="M104" s="105">
        <f>I104-L104</f>
        <v>0</v>
      </c>
    </row>
    <row r="105" spans="1:52" s="137" customFormat="1" ht="35.25" customHeight="1" x14ac:dyDescent="0.25">
      <c r="A105" s="294"/>
      <c r="B105" s="292"/>
      <c r="C105" s="292"/>
      <c r="D105" s="296"/>
      <c r="E105" s="33" t="s">
        <v>10</v>
      </c>
      <c r="F105" s="30">
        <v>2021</v>
      </c>
      <c r="G105" s="85">
        <v>0</v>
      </c>
      <c r="H105" s="90">
        <v>0</v>
      </c>
      <c r="I105" s="85">
        <v>120776.09</v>
      </c>
      <c r="J105" s="30"/>
      <c r="K105" s="58">
        <v>2119</v>
      </c>
      <c r="L105" s="62">
        <f>52870</f>
        <v>52870</v>
      </c>
      <c r="M105" s="105">
        <f>I105-L105</f>
        <v>67906.09</v>
      </c>
    </row>
    <row r="106" spans="1:52" s="14" customFormat="1" ht="18.75" x14ac:dyDescent="0.25">
      <c r="A106" s="176" t="s">
        <v>200</v>
      </c>
      <c r="B106" s="177">
        <v>4030</v>
      </c>
      <c r="C106" s="177" t="s">
        <v>202</v>
      </c>
      <c r="D106" s="175" t="s">
        <v>201</v>
      </c>
      <c r="E106" s="33" t="s">
        <v>10</v>
      </c>
      <c r="F106" s="30">
        <v>2021</v>
      </c>
      <c r="G106" s="85">
        <v>0</v>
      </c>
      <c r="H106" s="91">
        <v>0</v>
      </c>
      <c r="I106" s="85">
        <v>13110</v>
      </c>
      <c r="J106" s="32"/>
      <c r="K106" s="73">
        <v>2119</v>
      </c>
      <c r="L106" s="105">
        <v>0</v>
      </c>
      <c r="M106" s="56">
        <f>I106</f>
        <v>13110</v>
      </c>
    </row>
    <row r="107" spans="1:52" s="14" customFormat="1" ht="18.75" x14ac:dyDescent="0.25">
      <c r="A107" s="194" t="s">
        <v>319</v>
      </c>
      <c r="B107" s="195">
        <v>1080</v>
      </c>
      <c r="C107" s="195" t="s">
        <v>320</v>
      </c>
      <c r="D107" s="193" t="s">
        <v>318</v>
      </c>
      <c r="E107" s="33" t="s">
        <v>10</v>
      </c>
      <c r="F107" s="198">
        <v>2021</v>
      </c>
      <c r="G107" s="85">
        <v>0</v>
      </c>
      <c r="H107" s="91">
        <v>0</v>
      </c>
      <c r="I107" s="85">
        <v>150000</v>
      </c>
      <c r="J107" s="32"/>
      <c r="K107" s="73">
        <v>2119</v>
      </c>
      <c r="L107" s="62">
        <v>149250</v>
      </c>
      <c r="M107" s="56">
        <f>I107-L107</f>
        <v>750</v>
      </c>
    </row>
    <row r="108" spans="1:52" s="14" customFormat="1" ht="31.5" x14ac:dyDescent="0.25">
      <c r="A108" s="267" t="s">
        <v>86</v>
      </c>
      <c r="B108" s="275">
        <v>4060</v>
      </c>
      <c r="C108" s="275" t="s">
        <v>88</v>
      </c>
      <c r="D108" s="270" t="s">
        <v>87</v>
      </c>
      <c r="E108" s="33" t="s">
        <v>10</v>
      </c>
      <c r="F108" s="279">
        <v>2021</v>
      </c>
      <c r="G108" s="85">
        <v>0</v>
      </c>
      <c r="H108" s="91">
        <v>0</v>
      </c>
      <c r="I108" s="85">
        <v>71400</v>
      </c>
      <c r="J108" s="32"/>
      <c r="K108" s="73">
        <v>2119</v>
      </c>
      <c r="L108" s="105">
        <v>0</v>
      </c>
      <c r="M108" s="56">
        <f t="shared" ref="M108" si="13">I108-L108</f>
        <v>71400</v>
      </c>
    </row>
    <row r="109" spans="1:52" s="6" customFormat="1" ht="15.75" x14ac:dyDescent="0.25">
      <c r="A109" s="151" t="s">
        <v>173</v>
      </c>
      <c r="B109" s="38"/>
      <c r="C109" s="50"/>
      <c r="D109" s="51" t="s">
        <v>81</v>
      </c>
      <c r="E109" s="164"/>
      <c r="F109" s="43" t="s">
        <v>7</v>
      </c>
      <c r="G109" s="81" t="s">
        <v>7</v>
      </c>
      <c r="H109" s="81" t="s">
        <v>7</v>
      </c>
      <c r="I109" s="81">
        <f>I110</f>
        <v>15500</v>
      </c>
      <c r="J109" s="43" t="s">
        <v>7</v>
      </c>
      <c r="K109" s="365"/>
      <c r="L109" s="366"/>
      <c r="M109" s="367"/>
    </row>
    <row r="110" spans="1:52" s="137" customFormat="1" ht="18.75" x14ac:dyDescent="0.2">
      <c r="A110" s="133" t="s">
        <v>82</v>
      </c>
      <c r="B110" s="129">
        <v>5041</v>
      </c>
      <c r="C110" s="130" t="s">
        <v>84</v>
      </c>
      <c r="D110" s="53" t="s">
        <v>83</v>
      </c>
      <c r="E110" s="15" t="s">
        <v>10</v>
      </c>
      <c r="F110" s="30">
        <v>2021</v>
      </c>
      <c r="G110" s="85">
        <v>0</v>
      </c>
      <c r="H110" s="90">
        <v>0</v>
      </c>
      <c r="I110" s="85">
        <v>15500</v>
      </c>
      <c r="J110" s="30"/>
      <c r="K110" s="58">
        <v>2051</v>
      </c>
      <c r="L110" s="105">
        <v>15500</v>
      </c>
      <c r="M110" s="105">
        <f>I110-L110</f>
        <v>0</v>
      </c>
      <c r="N110" s="137" t="s">
        <v>99</v>
      </c>
    </row>
    <row r="111" spans="1:52" s="165" customFormat="1" ht="20.25" customHeight="1" x14ac:dyDescent="0.3">
      <c r="A111" s="308" t="s">
        <v>14</v>
      </c>
      <c r="B111" s="309"/>
      <c r="C111" s="309"/>
      <c r="D111" s="309"/>
      <c r="E111" s="310"/>
      <c r="F111" s="89" t="s">
        <v>7</v>
      </c>
      <c r="G111" s="80" t="s">
        <v>7</v>
      </c>
      <c r="H111" s="80" t="s">
        <v>7</v>
      </c>
      <c r="I111" s="80">
        <f>I112+I132+I140+I142+I224+I210+I222+I267+I279+I282+I274</f>
        <v>283375881.79000002</v>
      </c>
      <c r="J111" s="89" t="s">
        <v>7</v>
      </c>
      <c r="K111" s="172"/>
      <c r="L111" s="64">
        <f>SUM(L112:L283)</f>
        <v>193742812.27000004</v>
      </c>
      <c r="M111" s="64">
        <f>I111-L111</f>
        <v>89633069.519999981</v>
      </c>
    </row>
    <row r="112" spans="1:52" s="144" customFormat="1" ht="18.75" x14ac:dyDescent="0.2">
      <c r="A112" s="151" t="s">
        <v>172</v>
      </c>
      <c r="B112" s="42"/>
      <c r="C112" s="41"/>
      <c r="D112" s="35" t="s">
        <v>9</v>
      </c>
      <c r="E112" s="43"/>
      <c r="F112" s="43" t="s">
        <v>7</v>
      </c>
      <c r="G112" s="81" t="s">
        <v>7</v>
      </c>
      <c r="H112" s="81" t="s">
        <v>7</v>
      </c>
      <c r="I112" s="81">
        <f>SUM(I113:I126)+I128+I129+I130+I131</f>
        <v>58501438</v>
      </c>
      <c r="J112" s="43" t="s">
        <v>7</v>
      </c>
      <c r="K112" s="153"/>
      <c r="L112" s="154"/>
      <c r="M112" s="155"/>
    </row>
    <row r="113" spans="1:52" s="137" customFormat="1" ht="64.5" customHeight="1" x14ac:dyDescent="0.2">
      <c r="A113" s="231" t="s">
        <v>8</v>
      </c>
      <c r="B113" s="44" t="s">
        <v>15</v>
      </c>
      <c r="C113" s="225" t="s">
        <v>16</v>
      </c>
      <c r="D113" s="230" t="s">
        <v>17</v>
      </c>
      <c r="E113" s="15" t="s">
        <v>10</v>
      </c>
      <c r="F113" s="224">
        <v>2021</v>
      </c>
      <c r="G113" s="85">
        <v>0</v>
      </c>
      <c r="H113" s="136">
        <v>0</v>
      </c>
      <c r="I113" s="85">
        <f>662000-24800+1270000-54970</f>
        <v>1852230</v>
      </c>
      <c r="J113" s="224"/>
      <c r="K113" s="58">
        <v>2026</v>
      </c>
      <c r="L113" s="105">
        <f>76930+1226400+107475+64120</f>
        <v>1474925</v>
      </c>
      <c r="M113" s="105">
        <f t="shared" ref="M113:M126" si="14">I113-L113</f>
        <v>377305</v>
      </c>
      <c r="N113" s="137" t="s">
        <v>208</v>
      </c>
    </row>
    <row r="114" spans="1:52" s="137" customFormat="1" ht="18.75" x14ac:dyDescent="0.2">
      <c r="A114" s="260" t="s">
        <v>91</v>
      </c>
      <c r="B114" s="44">
        <v>8230</v>
      </c>
      <c r="C114" s="258" t="s">
        <v>93</v>
      </c>
      <c r="D114" s="259" t="s">
        <v>92</v>
      </c>
      <c r="E114" s="15" t="s">
        <v>10</v>
      </c>
      <c r="F114" s="261">
        <v>2021</v>
      </c>
      <c r="G114" s="85">
        <v>0</v>
      </c>
      <c r="H114" s="136">
        <v>0</v>
      </c>
      <c r="I114" s="85">
        <f>1905000-148800</f>
        <v>1756200</v>
      </c>
      <c r="J114" s="261"/>
      <c r="K114" s="58">
        <v>2055</v>
      </c>
      <c r="L114" s="105">
        <f>1839600-91980</f>
        <v>1747620</v>
      </c>
      <c r="M114" s="105">
        <f t="shared" si="14"/>
        <v>8580</v>
      </c>
      <c r="N114" s="137" t="s">
        <v>205</v>
      </c>
    </row>
    <row r="115" spans="1:52" s="137" customFormat="1" ht="47.25" x14ac:dyDescent="0.2">
      <c r="A115" s="293" t="s">
        <v>57</v>
      </c>
      <c r="B115" s="295">
        <v>6040</v>
      </c>
      <c r="C115" s="293" t="s">
        <v>59</v>
      </c>
      <c r="D115" s="301" t="s">
        <v>58</v>
      </c>
      <c r="E115" s="15" t="s">
        <v>96</v>
      </c>
      <c r="F115" s="30">
        <v>2021</v>
      </c>
      <c r="G115" s="85">
        <f t="shared" ref="G115:G117" si="15">I115</f>
        <v>6750</v>
      </c>
      <c r="H115" s="136">
        <v>0</v>
      </c>
      <c r="I115" s="85">
        <v>6750</v>
      </c>
      <c r="J115" s="30"/>
      <c r="K115" s="58">
        <v>2056</v>
      </c>
      <c r="L115" s="105"/>
      <c r="M115" s="105">
        <f t="shared" si="14"/>
        <v>6750</v>
      </c>
    </row>
    <row r="116" spans="1:52" s="137" customFormat="1" ht="47.25" x14ac:dyDescent="0.2">
      <c r="A116" s="297"/>
      <c r="B116" s="304"/>
      <c r="C116" s="297"/>
      <c r="D116" s="302"/>
      <c r="E116" s="15" t="s">
        <v>97</v>
      </c>
      <c r="F116" s="30">
        <v>2021</v>
      </c>
      <c r="G116" s="85">
        <f t="shared" si="15"/>
        <v>49900</v>
      </c>
      <c r="H116" s="136">
        <v>0</v>
      </c>
      <c r="I116" s="85">
        <v>49900</v>
      </c>
      <c r="J116" s="30"/>
      <c r="K116" s="58">
        <v>2057</v>
      </c>
      <c r="L116" s="105">
        <v>12883.24</v>
      </c>
      <c r="M116" s="105">
        <f t="shared" si="14"/>
        <v>37016.76</v>
      </c>
    </row>
    <row r="117" spans="1:52" s="137" customFormat="1" ht="47.25" x14ac:dyDescent="0.2">
      <c r="A117" s="297"/>
      <c r="B117" s="304"/>
      <c r="C117" s="297"/>
      <c r="D117" s="302"/>
      <c r="E117" s="15" t="s">
        <v>189</v>
      </c>
      <c r="F117" s="30">
        <v>2021</v>
      </c>
      <c r="G117" s="85">
        <f t="shared" si="15"/>
        <v>13088</v>
      </c>
      <c r="H117" s="136">
        <v>0</v>
      </c>
      <c r="I117" s="85">
        <v>13088</v>
      </c>
      <c r="J117" s="30"/>
      <c r="K117" s="58">
        <v>2058</v>
      </c>
      <c r="L117" s="105">
        <v>13088</v>
      </c>
      <c r="M117" s="105">
        <f t="shared" si="14"/>
        <v>0</v>
      </c>
    </row>
    <row r="118" spans="1:52" s="137" customFormat="1" ht="47.25" x14ac:dyDescent="0.2">
      <c r="A118" s="294"/>
      <c r="B118" s="296"/>
      <c r="C118" s="294"/>
      <c r="D118" s="303"/>
      <c r="E118" s="15" t="s">
        <v>98</v>
      </c>
      <c r="F118" s="30">
        <v>2021</v>
      </c>
      <c r="G118" s="85">
        <f>I118</f>
        <v>13088</v>
      </c>
      <c r="H118" s="136">
        <v>0</v>
      </c>
      <c r="I118" s="85">
        <v>13088</v>
      </c>
      <c r="J118" s="30"/>
      <c r="K118" s="58">
        <v>2059</v>
      </c>
      <c r="L118" s="105">
        <v>13088</v>
      </c>
      <c r="M118" s="105">
        <f t="shared" si="14"/>
        <v>0</v>
      </c>
    </row>
    <row r="119" spans="1:52" s="137" customFormat="1" ht="36.75" customHeight="1" x14ac:dyDescent="0.25">
      <c r="A119" s="133" t="s">
        <v>29</v>
      </c>
      <c r="B119" s="129">
        <v>7370</v>
      </c>
      <c r="C119" s="133" t="s">
        <v>5</v>
      </c>
      <c r="D119" s="140" t="s">
        <v>30</v>
      </c>
      <c r="E119" s="15" t="s">
        <v>119</v>
      </c>
      <c r="F119" s="30">
        <v>2021</v>
      </c>
      <c r="G119" s="85">
        <f>I119</f>
        <v>2737372</v>
      </c>
      <c r="H119" s="136">
        <v>0</v>
      </c>
      <c r="I119" s="85">
        <f>2752373-15001</f>
        <v>2737372</v>
      </c>
      <c r="J119" s="30"/>
      <c r="K119" s="58">
        <v>2060</v>
      </c>
      <c r="L119" s="105">
        <v>2712760</v>
      </c>
      <c r="M119" s="105">
        <f t="shared" si="14"/>
        <v>24612</v>
      </c>
    </row>
    <row r="120" spans="1:52" s="137" customFormat="1" ht="18.75" x14ac:dyDescent="0.2">
      <c r="A120" s="293" t="s">
        <v>11</v>
      </c>
      <c r="B120" s="295">
        <v>6030</v>
      </c>
      <c r="C120" s="293" t="s">
        <v>18</v>
      </c>
      <c r="D120" s="305" t="s">
        <v>19</v>
      </c>
      <c r="E120" s="360" t="s">
        <v>10</v>
      </c>
      <c r="F120" s="298">
        <v>2021</v>
      </c>
      <c r="G120" s="356">
        <v>0</v>
      </c>
      <c r="H120" s="358">
        <v>0</v>
      </c>
      <c r="I120" s="85">
        <v>2808550</v>
      </c>
      <c r="J120" s="30"/>
      <c r="K120" s="58">
        <v>2069</v>
      </c>
      <c r="L120" s="62">
        <f>2807400</f>
        <v>2807400</v>
      </c>
      <c r="M120" s="105">
        <f t="shared" si="14"/>
        <v>1150</v>
      </c>
    </row>
    <row r="121" spans="1:52" s="166" customFormat="1" ht="18.75" x14ac:dyDescent="0.2">
      <c r="A121" s="294"/>
      <c r="B121" s="296"/>
      <c r="C121" s="294"/>
      <c r="D121" s="307"/>
      <c r="E121" s="361"/>
      <c r="F121" s="300"/>
      <c r="G121" s="357"/>
      <c r="H121" s="359"/>
      <c r="I121" s="85">
        <v>1683000</v>
      </c>
      <c r="J121" s="30"/>
      <c r="K121" s="100">
        <v>2099</v>
      </c>
      <c r="L121" s="107">
        <v>1683000</v>
      </c>
      <c r="M121" s="107">
        <f t="shared" si="14"/>
        <v>0</v>
      </c>
      <c r="N121" s="166" t="s">
        <v>207</v>
      </c>
    </row>
    <row r="122" spans="1:52" s="137" customFormat="1" ht="47.25" x14ac:dyDescent="0.25">
      <c r="A122" s="248" t="s">
        <v>118</v>
      </c>
      <c r="B122" s="37">
        <v>7330</v>
      </c>
      <c r="C122" s="246" t="s">
        <v>5</v>
      </c>
      <c r="D122" s="247" t="s">
        <v>117</v>
      </c>
      <c r="E122" s="33" t="s">
        <v>141</v>
      </c>
      <c r="F122" s="249">
        <v>2021</v>
      </c>
      <c r="G122" s="85">
        <f>I122</f>
        <v>700000</v>
      </c>
      <c r="H122" s="136">
        <v>0</v>
      </c>
      <c r="I122" s="85">
        <v>700000</v>
      </c>
      <c r="J122" s="249"/>
      <c r="K122" s="58">
        <v>2098</v>
      </c>
      <c r="L122" s="105">
        <f>571347.6+126150.4</f>
        <v>697498</v>
      </c>
      <c r="M122" s="105">
        <f t="shared" si="14"/>
        <v>2502</v>
      </c>
    </row>
    <row r="123" spans="1:52" s="184" customFormat="1" ht="47.25" x14ac:dyDescent="0.25">
      <c r="A123" s="178" t="s">
        <v>187</v>
      </c>
      <c r="B123" s="179">
        <v>7361</v>
      </c>
      <c r="C123" s="178" t="s">
        <v>5</v>
      </c>
      <c r="D123" s="182" t="s">
        <v>188</v>
      </c>
      <c r="E123" s="95" t="s">
        <v>289</v>
      </c>
      <c r="F123" s="30">
        <v>2021</v>
      </c>
      <c r="G123" s="85">
        <v>25999836</v>
      </c>
      <c r="H123" s="136">
        <v>0</v>
      </c>
      <c r="I123" s="85">
        <v>47834</v>
      </c>
      <c r="J123" s="188"/>
      <c r="K123" s="58">
        <v>2005</v>
      </c>
      <c r="L123" s="185">
        <v>47834</v>
      </c>
      <c r="M123" s="105">
        <f t="shared" si="14"/>
        <v>0</v>
      </c>
    </row>
    <row r="124" spans="1:52" s="137" customFormat="1" ht="39.75" customHeight="1" x14ac:dyDescent="0.2">
      <c r="A124" s="130" t="s">
        <v>41</v>
      </c>
      <c r="B124" s="44">
        <v>7461</v>
      </c>
      <c r="C124" s="131" t="s">
        <v>20</v>
      </c>
      <c r="D124" s="134" t="s">
        <v>42</v>
      </c>
      <c r="E124" s="103" t="s">
        <v>246</v>
      </c>
      <c r="F124" s="30">
        <v>2021</v>
      </c>
      <c r="G124" s="85">
        <v>49920</v>
      </c>
      <c r="H124" s="136">
        <v>0</v>
      </c>
      <c r="I124" s="85">
        <v>49920</v>
      </c>
      <c r="J124" s="30"/>
      <c r="K124" s="58">
        <v>2147</v>
      </c>
      <c r="L124" s="105">
        <v>49920</v>
      </c>
      <c r="M124" s="105">
        <f t="shared" si="14"/>
        <v>0</v>
      </c>
    </row>
    <row r="125" spans="1:52" s="137" customFormat="1" ht="68.25" customHeight="1" x14ac:dyDescent="0.2">
      <c r="A125" s="208" t="s">
        <v>36</v>
      </c>
      <c r="B125" s="131">
        <v>9750</v>
      </c>
      <c r="C125" s="131" t="s">
        <v>22</v>
      </c>
      <c r="D125" s="134" t="s">
        <v>241</v>
      </c>
      <c r="E125" s="103" t="s">
        <v>264</v>
      </c>
      <c r="F125" s="30">
        <v>2021</v>
      </c>
      <c r="G125" s="85">
        <v>0</v>
      </c>
      <c r="H125" s="136">
        <v>0</v>
      </c>
      <c r="I125" s="85">
        <v>79168</v>
      </c>
      <c r="J125" s="30"/>
      <c r="K125" s="168">
        <v>2159</v>
      </c>
      <c r="L125" s="62">
        <v>79168</v>
      </c>
      <c r="M125" s="105">
        <f t="shared" si="14"/>
        <v>0</v>
      </c>
    </row>
    <row r="126" spans="1:52" s="137" customFormat="1" ht="43.5" customHeight="1" x14ac:dyDescent="0.2">
      <c r="A126" s="211" t="s">
        <v>37</v>
      </c>
      <c r="B126" s="212">
        <v>9770</v>
      </c>
      <c r="C126" s="212" t="s">
        <v>22</v>
      </c>
      <c r="D126" s="213" t="s">
        <v>38</v>
      </c>
      <c r="E126" s="103" t="s">
        <v>335</v>
      </c>
      <c r="F126" s="214">
        <v>2021</v>
      </c>
      <c r="G126" s="104">
        <v>8907209</v>
      </c>
      <c r="H126" s="136">
        <v>0</v>
      </c>
      <c r="I126" s="85">
        <v>4200000</v>
      </c>
      <c r="J126" s="214"/>
      <c r="K126" s="168">
        <v>2200</v>
      </c>
      <c r="L126" s="62">
        <v>3689279</v>
      </c>
      <c r="M126" s="105">
        <f t="shared" si="14"/>
        <v>510721</v>
      </c>
    </row>
    <row r="127" spans="1:52" s="121" customFormat="1" ht="18.75" customHeight="1" x14ac:dyDescent="0.2">
      <c r="D127" s="311" t="s">
        <v>140</v>
      </c>
      <c r="E127" s="312"/>
      <c r="F127" s="312"/>
      <c r="G127" s="312"/>
      <c r="H127" s="312"/>
      <c r="I127" s="312"/>
      <c r="J127" s="313"/>
      <c r="K127" s="120"/>
      <c r="L127" s="120"/>
      <c r="M127" s="120"/>
      <c r="N127" s="120"/>
      <c r="O127" s="120"/>
      <c r="P127" s="120"/>
      <c r="Q127" s="120"/>
      <c r="R127" s="120"/>
      <c r="S127" s="120"/>
      <c r="T127" s="120"/>
      <c r="U127" s="120"/>
      <c r="V127" s="120"/>
      <c r="W127" s="120"/>
      <c r="X127" s="120"/>
      <c r="Y127" s="120"/>
      <c r="Z127" s="120"/>
      <c r="AA127" s="120"/>
      <c r="AB127" s="120"/>
      <c r="AC127" s="120"/>
      <c r="AD127" s="120"/>
      <c r="AE127" s="120"/>
      <c r="AF127" s="120"/>
      <c r="AG127" s="120"/>
      <c r="AH127" s="120"/>
      <c r="AI127" s="120"/>
      <c r="AJ127" s="120"/>
      <c r="AK127" s="120"/>
      <c r="AL127" s="120"/>
      <c r="AM127" s="120"/>
      <c r="AN127" s="120"/>
      <c r="AO127" s="120"/>
      <c r="AP127" s="120"/>
      <c r="AQ127" s="120"/>
      <c r="AR127" s="120"/>
      <c r="AS127" s="120"/>
      <c r="AT127" s="120"/>
      <c r="AU127" s="120"/>
      <c r="AV127" s="120"/>
      <c r="AW127" s="120"/>
      <c r="AX127" s="120"/>
      <c r="AY127" s="120"/>
      <c r="AZ127" s="120"/>
    </row>
    <row r="128" spans="1:52" s="137" customFormat="1" ht="31.5" x14ac:dyDescent="0.2">
      <c r="A128" s="133" t="s">
        <v>158</v>
      </c>
      <c r="B128" s="37">
        <v>6082</v>
      </c>
      <c r="C128" s="133" t="s">
        <v>32</v>
      </c>
      <c r="D128" s="48" t="s">
        <v>159</v>
      </c>
      <c r="E128" s="15" t="s">
        <v>256</v>
      </c>
      <c r="F128" s="30">
        <v>2021</v>
      </c>
      <c r="G128" s="85">
        <v>4895627</v>
      </c>
      <c r="H128" s="136">
        <v>0</v>
      </c>
      <c r="I128" s="85">
        <v>3468900</v>
      </c>
      <c r="J128" s="30"/>
      <c r="K128" s="58">
        <v>2115</v>
      </c>
      <c r="L128" s="105">
        <v>989803.5</v>
      </c>
      <c r="M128" s="105">
        <f>I128-L128</f>
        <v>2479096.5</v>
      </c>
      <c r="N128" s="173">
        <f>G128-I128</f>
        <v>1426727</v>
      </c>
    </row>
    <row r="129" spans="1:52" s="137" customFormat="1" ht="47.25" x14ac:dyDescent="0.2">
      <c r="A129" s="314" t="s">
        <v>54</v>
      </c>
      <c r="B129" s="315">
        <v>7363</v>
      </c>
      <c r="C129" s="316" t="s">
        <v>5</v>
      </c>
      <c r="D129" s="317" t="s">
        <v>55</v>
      </c>
      <c r="E129" s="15" t="s">
        <v>56</v>
      </c>
      <c r="F129" s="30">
        <v>2021</v>
      </c>
      <c r="G129" s="85">
        <v>5261884</v>
      </c>
      <c r="H129" s="136">
        <v>0</v>
      </c>
      <c r="I129" s="85">
        <v>3035438</v>
      </c>
      <c r="J129" s="30"/>
      <c r="K129" s="58">
        <v>2042</v>
      </c>
      <c r="L129" s="62">
        <f>36575.65+2748583.96+250278.39</f>
        <v>3035438</v>
      </c>
      <c r="M129" s="105">
        <f>I129-L129</f>
        <v>0</v>
      </c>
    </row>
    <row r="130" spans="1:52" s="137" customFormat="1" ht="31.5" x14ac:dyDescent="0.2">
      <c r="A130" s="314"/>
      <c r="B130" s="315"/>
      <c r="C130" s="316"/>
      <c r="D130" s="317"/>
      <c r="E130" s="15" t="s">
        <v>262</v>
      </c>
      <c r="F130" s="219" t="s">
        <v>179</v>
      </c>
      <c r="G130" s="85">
        <v>40577110</v>
      </c>
      <c r="H130" s="136">
        <v>0</v>
      </c>
      <c r="I130" s="85">
        <f>3000000+8000000</f>
        <v>11000000</v>
      </c>
      <c r="J130" s="219"/>
      <c r="K130" s="58">
        <v>2158</v>
      </c>
      <c r="L130" s="105">
        <v>0</v>
      </c>
      <c r="M130" s="105">
        <f>I130-L130</f>
        <v>11000000</v>
      </c>
    </row>
    <row r="131" spans="1:52" s="137" customFormat="1" ht="34.5" customHeight="1" x14ac:dyDescent="0.2">
      <c r="A131" s="314"/>
      <c r="B131" s="315"/>
      <c r="C131" s="316"/>
      <c r="D131" s="317"/>
      <c r="E131" s="15" t="s">
        <v>338</v>
      </c>
      <c r="F131" s="219" t="s">
        <v>179</v>
      </c>
      <c r="G131" s="85">
        <v>31388746</v>
      </c>
      <c r="H131" s="136">
        <v>0</v>
      </c>
      <c r="I131" s="85">
        <v>25000000</v>
      </c>
      <c r="J131" s="219"/>
      <c r="K131" s="58">
        <v>2207</v>
      </c>
      <c r="L131" s="105"/>
      <c r="M131" s="105">
        <f>I131-L131</f>
        <v>25000000</v>
      </c>
    </row>
    <row r="132" spans="1:52" s="143" customFormat="1" ht="47.25" customHeight="1" x14ac:dyDescent="0.2">
      <c r="A132" s="318"/>
      <c r="B132" s="319"/>
      <c r="C132" s="320"/>
      <c r="D132" s="46" t="s">
        <v>291</v>
      </c>
      <c r="E132" s="141"/>
      <c r="F132" s="43" t="s">
        <v>7</v>
      </c>
      <c r="G132" s="81" t="s">
        <v>7</v>
      </c>
      <c r="H132" s="81" t="s">
        <v>7</v>
      </c>
      <c r="I132" s="81">
        <f>SUM(I133:I139)</f>
        <v>24705458</v>
      </c>
      <c r="J132" s="43" t="s">
        <v>7</v>
      </c>
      <c r="K132" s="169"/>
      <c r="L132" s="170"/>
      <c r="M132" s="171"/>
    </row>
    <row r="133" spans="1:52" s="137" customFormat="1" ht="47.25" x14ac:dyDescent="0.2">
      <c r="A133" s="293" t="s">
        <v>28</v>
      </c>
      <c r="B133" s="295">
        <v>7322</v>
      </c>
      <c r="C133" s="293" t="s">
        <v>199</v>
      </c>
      <c r="D133" s="344" t="s">
        <v>62</v>
      </c>
      <c r="E133" s="103" t="s">
        <v>47</v>
      </c>
      <c r="F133" s="261">
        <v>2021</v>
      </c>
      <c r="G133" s="85">
        <f>I133</f>
        <v>448800</v>
      </c>
      <c r="H133" s="136">
        <v>0</v>
      </c>
      <c r="I133" s="85">
        <f>300000+148800</f>
        <v>448800</v>
      </c>
      <c r="J133" s="261"/>
      <c r="K133" s="58">
        <v>2029</v>
      </c>
      <c r="L133" s="62">
        <f>297772.8+148800</f>
        <v>446572.79999999999</v>
      </c>
      <c r="M133" s="105">
        <f>I133-L133</f>
        <v>2227.2000000000116</v>
      </c>
    </row>
    <row r="134" spans="1:52" s="137" customFormat="1" ht="47.25" x14ac:dyDescent="0.2">
      <c r="A134" s="297"/>
      <c r="B134" s="304"/>
      <c r="C134" s="297"/>
      <c r="D134" s="352"/>
      <c r="E134" s="103" t="s">
        <v>258</v>
      </c>
      <c r="F134" s="30">
        <v>2021</v>
      </c>
      <c r="G134" s="85">
        <f>I134</f>
        <v>300000</v>
      </c>
      <c r="H134" s="136">
        <v>0</v>
      </c>
      <c r="I134" s="85">
        <v>300000</v>
      </c>
      <c r="J134" s="30"/>
      <c r="K134" s="58">
        <v>2030</v>
      </c>
      <c r="L134" s="105">
        <v>0</v>
      </c>
      <c r="M134" s="105">
        <f>I134-L134</f>
        <v>300000</v>
      </c>
    </row>
    <row r="135" spans="1:52" s="137" customFormat="1" ht="31.5" x14ac:dyDescent="0.2">
      <c r="A135" s="297"/>
      <c r="B135" s="304"/>
      <c r="C135" s="297"/>
      <c r="D135" s="352"/>
      <c r="E135" s="103" t="s">
        <v>204</v>
      </c>
      <c r="F135" s="261">
        <v>2021</v>
      </c>
      <c r="G135" s="85">
        <f>72852+I63</f>
        <v>3696403</v>
      </c>
      <c r="H135" s="136">
        <v>0</v>
      </c>
      <c r="I135" s="85">
        <f>72852+24355</f>
        <v>97207</v>
      </c>
      <c r="J135" s="261"/>
      <c r="K135" s="58">
        <v>2118</v>
      </c>
      <c r="L135" s="62">
        <v>59666.36</v>
      </c>
      <c r="M135" s="105">
        <f>I135-L135</f>
        <v>37540.639999999999</v>
      </c>
    </row>
    <row r="136" spans="1:52" s="137" customFormat="1" ht="33" customHeight="1" x14ac:dyDescent="0.2">
      <c r="A136" s="294"/>
      <c r="B136" s="296"/>
      <c r="C136" s="294"/>
      <c r="D136" s="345"/>
      <c r="E136" s="103" t="s">
        <v>357</v>
      </c>
      <c r="F136" s="261">
        <v>2021</v>
      </c>
      <c r="G136" s="85">
        <f>4478016-24355</f>
        <v>4453661</v>
      </c>
      <c r="H136" s="136">
        <v>0</v>
      </c>
      <c r="I136" s="85">
        <f>4478016-24355</f>
        <v>4453661</v>
      </c>
      <c r="J136" s="261"/>
      <c r="K136" s="58">
        <v>2169</v>
      </c>
      <c r="L136" s="62">
        <f>49959+856370.23+609434.7+798148.05+1612200.21+24633+425335.94+4988.69</f>
        <v>4381069.82</v>
      </c>
      <c r="M136" s="105">
        <f>I136-L136</f>
        <v>72591.179999999702</v>
      </c>
    </row>
    <row r="137" spans="1:52" s="137" customFormat="1" ht="47.25" x14ac:dyDescent="0.2">
      <c r="A137" s="133" t="s">
        <v>77</v>
      </c>
      <c r="B137" s="37">
        <v>2111</v>
      </c>
      <c r="C137" s="133" t="s">
        <v>79</v>
      </c>
      <c r="D137" s="132" t="s">
        <v>78</v>
      </c>
      <c r="E137" s="103" t="s">
        <v>10</v>
      </c>
      <c r="F137" s="30">
        <v>2021</v>
      </c>
      <c r="G137" s="85">
        <v>0</v>
      </c>
      <c r="H137" s="136">
        <v>0</v>
      </c>
      <c r="I137" s="85">
        <v>45000</v>
      </c>
      <c r="J137" s="30"/>
      <c r="K137" s="58">
        <v>2050</v>
      </c>
      <c r="L137" s="105">
        <v>30550</v>
      </c>
      <c r="M137" s="105">
        <f>I137-L137</f>
        <v>14450</v>
      </c>
      <c r="N137" s="137" t="s">
        <v>210</v>
      </c>
    </row>
    <row r="138" spans="1:52" s="121" customFormat="1" ht="18.75" customHeight="1" x14ac:dyDescent="0.2">
      <c r="D138" s="311" t="s">
        <v>140</v>
      </c>
      <c r="E138" s="312"/>
      <c r="F138" s="312"/>
      <c r="G138" s="312"/>
      <c r="H138" s="312"/>
      <c r="I138" s="312"/>
      <c r="J138" s="313"/>
      <c r="K138" s="120"/>
      <c r="L138" s="120"/>
      <c r="M138" s="120"/>
      <c r="N138" s="120"/>
      <c r="O138" s="120"/>
      <c r="P138" s="120"/>
      <c r="Q138" s="120"/>
      <c r="R138" s="120"/>
      <c r="S138" s="120"/>
      <c r="T138" s="120"/>
      <c r="U138" s="120"/>
      <c r="V138" s="120"/>
      <c r="W138" s="120"/>
      <c r="X138" s="120"/>
      <c r="Y138" s="120"/>
      <c r="Z138" s="120"/>
      <c r="AA138" s="120"/>
      <c r="AB138" s="120"/>
      <c r="AC138" s="120"/>
      <c r="AD138" s="120"/>
      <c r="AE138" s="120"/>
      <c r="AF138" s="120"/>
      <c r="AG138" s="120"/>
      <c r="AH138" s="120"/>
      <c r="AI138" s="120"/>
      <c r="AJ138" s="120"/>
      <c r="AK138" s="120"/>
      <c r="AL138" s="120"/>
      <c r="AM138" s="120"/>
      <c r="AN138" s="120"/>
      <c r="AO138" s="120"/>
      <c r="AP138" s="120"/>
      <c r="AQ138" s="120"/>
      <c r="AR138" s="120"/>
      <c r="AS138" s="120"/>
      <c r="AT138" s="120"/>
      <c r="AU138" s="120"/>
      <c r="AV138" s="120"/>
      <c r="AW138" s="120"/>
      <c r="AX138" s="120"/>
      <c r="AY138" s="120"/>
      <c r="AZ138" s="120"/>
    </row>
    <row r="139" spans="1:52" s="137" customFormat="1" ht="47.25" x14ac:dyDescent="0.2">
      <c r="A139" s="218" t="s">
        <v>54</v>
      </c>
      <c r="B139" s="37">
        <v>7363</v>
      </c>
      <c r="C139" s="217" t="s">
        <v>5</v>
      </c>
      <c r="D139" s="220" t="s">
        <v>55</v>
      </c>
      <c r="E139" s="15" t="s">
        <v>339</v>
      </c>
      <c r="F139" s="219">
        <v>2021</v>
      </c>
      <c r="G139" s="85">
        <v>19360790</v>
      </c>
      <c r="H139" s="136">
        <v>0</v>
      </c>
      <c r="I139" s="85">
        <v>19360790</v>
      </c>
      <c r="J139" s="219"/>
      <c r="K139" s="58">
        <v>2029</v>
      </c>
      <c r="L139" s="62">
        <f>5290790+1561478.3+3338336.47+50644.91</f>
        <v>10241249.68</v>
      </c>
      <c r="M139" s="105">
        <f>I139-L139</f>
        <v>9119540.3200000003</v>
      </c>
      <c r="N139" s="173">
        <f>G139-I139</f>
        <v>0</v>
      </c>
    </row>
    <row r="140" spans="1:52" s="143" customFormat="1" ht="46.5" customHeight="1" x14ac:dyDescent="0.2">
      <c r="A140" s="318"/>
      <c r="B140" s="319"/>
      <c r="C140" s="320"/>
      <c r="D140" s="46" t="s">
        <v>292</v>
      </c>
      <c r="E140" s="141"/>
      <c r="F140" s="43" t="s">
        <v>7</v>
      </c>
      <c r="G140" s="81" t="s">
        <v>7</v>
      </c>
      <c r="H140" s="81" t="s">
        <v>7</v>
      </c>
      <c r="I140" s="81">
        <f>SUM(I141)</f>
        <v>5971904</v>
      </c>
      <c r="J140" s="43" t="s">
        <v>7</v>
      </c>
      <c r="K140" s="169"/>
      <c r="L140" s="170"/>
      <c r="M140" s="171"/>
    </row>
    <row r="141" spans="1:52" s="137" customFormat="1" ht="31.5" x14ac:dyDescent="0.25">
      <c r="A141" s="209" t="s">
        <v>48</v>
      </c>
      <c r="B141" s="210">
        <v>2080</v>
      </c>
      <c r="C141" s="209" t="s">
        <v>49</v>
      </c>
      <c r="D141" s="140" t="s">
        <v>50</v>
      </c>
      <c r="E141" s="103" t="s">
        <v>10</v>
      </c>
      <c r="F141" s="214">
        <v>2021</v>
      </c>
      <c r="G141" s="85">
        <v>0</v>
      </c>
      <c r="H141" s="136">
        <v>0</v>
      </c>
      <c r="I141" s="85">
        <f>1750000-82826+200000+2480000+1624730</f>
        <v>5971904</v>
      </c>
      <c r="J141" s="214"/>
      <c r="K141" s="58">
        <v>2037</v>
      </c>
      <c r="L141" s="62">
        <f>1650000+199900+2470000+1624730</f>
        <v>5944630</v>
      </c>
      <c r="M141" s="105">
        <f>I141-L141</f>
        <v>27274</v>
      </c>
      <c r="N141" s="137" t="s">
        <v>348</v>
      </c>
    </row>
    <row r="142" spans="1:52" s="144" customFormat="1" ht="18.75" x14ac:dyDescent="0.2">
      <c r="A142" s="318"/>
      <c r="B142" s="319"/>
      <c r="C142" s="320"/>
      <c r="D142" s="39" t="s">
        <v>95</v>
      </c>
      <c r="E142" s="141"/>
      <c r="F142" s="43" t="s">
        <v>7</v>
      </c>
      <c r="G142" s="81" t="s">
        <v>7</v>
      </c>
      <c r="H142" s="81" t="s">
        <v>7</v>
      </c>
      <c r="I142" s="81">
        <f>SUM(I143:I209)</f>
        <v>87798597.710000008</v>
      </c>
      <c r="J142" s="43" t="s">
        <v>7</v>
      </c>
      <c r="K142" s="153"/>
      <c r="L142" s="154"/>
      <c r="M142" s="155"/>
      <c r="N142" s="143"/>
      <c r="O142" s="143"/>
      <c r="P142" s="143"/>
      <c r="Q142" s="143"/>
      <c r="R142" s="143"/>
      <c r="S142" s="143"/>
      <c r="T142" s="143"/>
      <c r="U142" s="143"/>
      <c r="V142" s="143"/>
      <c r="W142" s="143"/>
      <c r="X142" s="143"/>
      <c r="Y142" s="143"/>
      <c r="Z142" s="143"/>
      <c r="AA142" s="143"/>
      <c r="AB142" s="143"/>
      <c r="AC142" s="143"/>
      <c r="AD142" s="143"/>
      <c r="AE142" s="143"/>
      <c r="AF142" s="143"/>
      <c r="AG142" s="143"/>
      <c r="AH142" s="143"/>
      <c r="AI142" s="143"/>
      <c r="AJ142" s="143"/>
      <c r="AK142" s="143"/>
      <c r="AL142" s="143"/>
      <c r="AM142" s="143"/>
      <c r="AN142" s="143"/>
      <c r="AO142" s="143"/>
      <c r="AP142" s="143"/>
      <c r="AQ142" s="143"/>
      <c r="AR142" s="143"/>
      <c r="AS142" s="143"/>
      <c r="AT142" s="143"/>
      <c r="AU142" s="143"/>
      <c r="AV142" s="143"/>
      <c r="AW142" s="143"/>
      <c r="AX142" s="143"/>
      <c r="AY142" s="143"/>
      <c r="AZ142" s="143"/>
    </row>
    <row r="143" spans="1:52" s="137" customFormat="1" ht="33" customHeight="1" x14ac:dyDescent="0.2">
      <c r="A143" s="293" t="s">
        <v>31</v>
      </c>
      <c r="B143" s="295">
        <v>6011</v>
      </c>
      <c r="C143" s="293" t="s">
        <v>32</v>
      </c>
      <c r="D143" s="295" t="s">
        <v>33</v>
      </c>
      <c r="E143" s="103" t="s">
        <v>34</v>
      </c>
      <c r="F143" s="30">
        <v>2021</v>
      </c>
      <c r="G143" s="85">
        <f>I143</f>
        <v>1484700</v>
      </c>
      <c r="H143" s="136">
        <v>0</v>
      </c>
      <c r="I143" s="85">
        <v>1484700</v>
      </c>
      <c r="J143" s="30"/>
      <c r="K143" s="58">
        <v>2031</v>
      </c>
      <c r="L143" s="62">
        <f>1087870.16+386062.64</f>
        <v>1473932.7999999998</v>
      </c>
      <c r="M143" s="105">
        <f>I143-L143</f>
        <v>10767.200000000186</v>
      </c>
      <c r="N143" s="174">
        <v>1087870.1599999999</v>
      </c>
      <c r="O143" s="137">
        <f>266355.78+579515.04</f>
        <v>845870.82000000007</v>
      </c>
      <c r="P143" s="137">
        <f>N143-O143</f>
        <v>241999.33999999985</v>
      </c>
    </row>
    <row r="144" spans="1:52" s="137" customFormat="1" ht="31.5" x14ac:dyDescent="0.2">
      <c r="A144" s="294"/>
      <c r="B144" s="296"/>
      <c r="C144" s="294"/>
      <c r="D144" s="296"/>
      <c r="E144" s="103" t="s">
        <v>35</v>
      </c>
      <c r="F144" s="30">
        <v>2021</v>
      </c>
      <c r="G144" s="85">
        <f t="shared" ref="G144:G150" si="16">I144</f>
        <v>1478200</v>
      </c>
      <c r="H144" s="136">
        <v>0</v>
      </c>
      <c r="I144" s="85">
        <v>1478200</v>
      </c>
      <c r="J144" s="30"/>
      <c r="K144" s="58">
        <v>2032</v>
      </c>
      <c r="L144" s="62">
        <f>736760.86+732403.08</f>
        <v>1469163.94</v>
      </c>
      <c r="M144" s="105">
        <f>I144-L144</f>
        <v>9036.0600000000559</v>
      </c>
      <c r="N144" s="174">
        <v>736760.86</v>
      </c>
      <c r="O144" s="137">
        <f>508355.12+500405.08</f>
        <v>1008760.2</v>
      </c>
      <c r="P144" s="137">
        <f>O144-N144</f>
        <v>271999.33999999997</v>
      </c>
    </row>
    <row r="145" spans="1:14" s="137" customFormat="1" ht="31.5" x14ac:dyDescent="0.2">
      <c r="A145" s="196" t="s">
        <v>358</v>
      </c>
      <c r="B145" s="197">
        <v>6017</v>
      </c>
      <c r="C145" s="196" t="s">
        <v>18</v>
      </c>
      <c r="D145" s="197" t="s">
        <v>315</v>
      </c>
      <c r="E145" s="103" t="s">
        <v>316</v>
      </c>
      <c r="F145" s="198">
        <v>2021</v>
      </c>
      <c r="G145" s="85">
        <v>1403390</v>
      </c>
      <c r="H145" s="136">
        <v>0</v>
      </c>
      <c r="I145" s="85">
        <f>G145</f>
        <v>1403390</v>
      </c>
      <c r="J145" s="198"/>
      <c r="K145" s="58">
        <v>2197</v>
      </c>
      <c r="L145" s="62">
        <f>1303061.99+19381.62+4410</f>
        <v>1326853.6100000001</v>
      </c>
      <c r="M145" s="105">
        <f>I145-L145</f>
        <v>76536.389999999898</v>
      </c>
      <c r="N145" s="201"/>
    </row>
    <row r="146" spans="1:14" s="137" customFormat="1" ht="47.25" x14ac:dyDescent="0.2">
      <c r="A146" s="253" t="s">
        <v>245</v>
      </c>
      <c r="B146" s="257">
        <v>6013</v>
      </c>
      <c r="C146" s="253" t="s">
        <v>18</v>
      </c>
      <c r="D146" s="257" t="s">
        <v>244</v>
      </c>
      <c r="E146" s="103" t="s">
        <v>251</v>
      </c>
      <c r="F146" s="261">
        <v>2021</v>
      </c>
      <c r="G146" s="85">
        <v>49336</v>
      </c>
      <c r="H146" s="136">
        <v>0</v>
      </c>
      <c r="I146" s="85">
        <f>49336-3297.28</f>
        <v>46038.720000000001</v>
      </c>
      <c r="J146" s="261"/>
      <c r="K146" s="58">
        <v>2140</v>
      </c>
      <c r="L146" s="105"/>
      <c r="M146" s="105">
        <f t="shared" ref="M146:M200" si="17">I146-L146</f>
        <v>46038.720000000001</v>
      </c>
    </row>
    <row r="147" spans="1:14" s="137" customFormat="1" ht="31.5" x14ac:dyDescent="0.25">
      <c r="A147" s="293" t="s">
        <v>11</v>
      </c>
      <c r="B147" s="295">
        <v>6030</v>
      </c>
      <c r="C147" s="293" t="s">
        <v>18</v>
      </c>
      <c r="D147" s="305" t="s">
        <v>19</v>
      </c>
      <c r="E147" s="33" t="s">
        <v>121</v>
      </c>
      <c r="F147" s="261">
        <v>2021</v>
      </c>
      <c r="G147" s="85">
        <f t="shared" si="16"/>
        <v>512897.31</v>
      </c>
      <c r="H147" s="136">
        <v>0</v>
      </c>
      <c r="I147" s="85">
        <f>588027-75129.69</f>
        <v>512897.31</v>
      </c>
      <c r="J147" s="261"/>
      <c r="K147" s="58">
        <v>2061</v>
      </c>
      <c r="L147" s="105">
        <f>505400+7497.31</f>
        <v>512897.31</v>
      </c>
      <c r="M147" s="105">
        <f t="shared" si="17"/>
        <v>0</v>
      </c>
    </row>
    <row r="148" spans="1:14" s="137" customFormat="1" ht="31.5" x14ac:dyDescent="0.25">
      <c r="A148" s="297"/>
      <c r="B148" s="304"/>
      <c r="C148" s="297"/>
      <c r="D148" s="306"/>
      <c r="E148" s="33" t="s">
        <v>122</v>
      </c>
      <c r="F148" s="261">
        <v>2021</v>
      </c>
      <c r="G148" s="85">
        <f t="shared" si="16"/>
        <v>329712.82</v>
      </c>
      <c r="H148" s="136">
        <v>0</v>
      </c>
      <c r="I148" s="85">
        <f>413680-83967.18</f>
        <v>329712.82</v>
      </c>
      <c r="J148" s="261"/>
      <c r="K148" s="58">
        <v>2062</v>
      </c>
      <c r="L148" s="105">
        <v>329712.82</v>
      </c>
      <c r="M148" s="105">
        <f t="shared" si="17"/>
        <v>0</v>
      </c>
    </row>
    <row r="149" spans="1:14" s="137" customFormat="1" ht="31.5" x14ac:dyDescent="0.25">
      <c r="A149" s="297"/>
      <c r="B149" s="304"/>
      <c r="C149" s="297"/>
      <c r="D149" s="306"/>
      <c r="E149" s="33" t="s">
        <v>123</v>
      </c>
      <c r="F149" s="261">
        <v>2021</v>
      </c>
      <c r="G149" s="85">
        <f t="shared" si="16"/>
        <v>610349</v>
      </c>
      <c r="H149" s="136">
        <v>0</v>
      </c>
      <c r="I149" s="85">
        <v>610349</v>
      </c>
      <c r="J149" s="261"/>
      <c r="K149" s="58">
        <v>2063</v>
      </c>
      <c r="L149" s="105">
        <f>560848.84+8308.45</f>
        <v>569157.28999999992</v>
      </c>
      <c r="M149" s="105">
        <f t="shared" si="17"/>
        <v>41191.710000000079</v>
      </c>
    </row>
    <row r="150" spans="1:14" s="137" customFormat="1" ht="31.5" x14ac:dyDescent="0.25">
      <c r="A150" s="297"/>
      <c r="B150" s="304"/>
      <c r="C150" s="297"/>
      <c r="D150" s="306"/>
      <c r="E150" s="33" t="s">
        <v>124</v>
      </c>
      <c r="F150" s="261">
        <v>2021</v>
      </c>
      <c r="G150" s="85">
        <f t="shared" si="16"/>
        <v>537532.07000000007</v>
      </c>
      <c r="H150" s="136">
        <v>0</v>
      </c>
      <c r="I150" s="85">
        <f>725932-188399.93</f>
        <v>537532.07000000007</v>
      </c>
      <c r="J150" s="261"/>
      <c r="K150" s="58">
        <v>2064</v>
      </c>
      <c r="L150" s="105">
        <f>529700+7832.07</f>
        <v>537532.06999999995</v>
      </c>
      <c r="M150" s="105">
        <f t="shared" si="17"/>
        <v>0</v>
      </c>
    </row>
    <row r="151" spans="1:14" s="137" customFormat="1" ht="31.5" x14ac:dyDescent="0.25">
      <c r="A151" s="297"/>
      <c r="B151" s="304"/>
      <c r="C151" s="297"/>
      <c r="D151" s="306"/>
      <c r="E151" s="33" t="s">
        <v>125</v>
      </c>
      <c r="F151" s="261">
        <v>2021</v>
      </c>
      <c r="G151" s="85">
        <f t="shared" ref="G151:G153" si="18">I151</f>
        <v>40775</v>
      </c>
      <c r="H151" s="136">
        <v>0</v>
      </c>
      <c r="I151" s="85">
        <v>40775</v>
      </c>
      <c r="J151" s="261"/>
      <c r="K151" s="58">
        <v>2065</v>
      </c>
      <c r="L151" s="105">
        <v>40775</v>
      </c>
      <c r="M151" s="105">
        <f t="shared" si="17"/>
        <v>0</v>
      </c>
    </row>
    <row r="152" spans="1:14" s="137" customFormat="1" ht="31.5" x14ac:dyDescent="0.25">
      <c r="A152" s="297"/>
      <c r="B152" s="304"/>
      <c r="C152" s="297"/>
      <c r="D152" s="306"/>
      <c r="E152" s="33" t="s">
        <v>126</v>
      </c>
      <c r="F152" s="261">
        <v>2021</v>
      </c>
      <c r="G152" s="85">
        <f t="shared" si="18"/>
        <v>36293</v>
      </c>
      <c r="H152" s="136">
        <v>0</v>
      </c>
      <c r="I152" s="85">
        <v>36293</v>
      </c>
      <c r="J152" s="261"/>
      <c r="K152" s="58">
        <v>2066</v>
      </c>
      <c r="L152" s="105">
        <v>36293</v>
      </c>
      <c r="M152" s="105">
        <f t="shared" si="17"/>
        <v>0</v>
      </c>
    </row>
    <row r="153" spans="1:14" s="137" customFormat="1" ht="31.5" x14ac:dyDescent="0.25">
      <c r="A153" s="297"/>
      <c r="B153" s="304"/>
      <c r="C153" s="297"/>
      <c r="D153" s="306"/>
      <c r="E153" s="33" t="s">
        <v>127</v>
      </c>
      <c r="F153" s="261">
        <v>2021</v>
      </c>
      <c r="G153" s="85">
        <f t="shared" si="18"/>
        <v>29662</v>
      </c>
      <c r="H153" s="136">
        <v>0</v>
      </c>
      <c r="I153" s="85">
        <v>29662</v>
      </c>
      <c r="J153" s="261"/>
      <c r="K153" s="58">
        <v>2067</v>
      </c>
      <c r="L153" s="105">
        <v>29662</v>
      </c>
      <c r="M153" s="105">
        <f t="shared" si="17"/>
        <v>0</v>
      </c>
    </row>
    <row r="154" spans="1:14" s="137" customFormat="1" ht="31.5" x14ac:dyDescent="0.25">
      <c r="A154" s="297"/>
      <c r="B154" s="304"/>
      <c r="C154" s="297"/>
      <c r="D154" s="306"/>
      <c r="E154" s="33" t="s">
        <v>128</v>
      </c>
      <c r="F154" s="261">
        <v>2021</v>
      </c>
      <c r="G154" s="85">
        <f>I154</f>
        <v>34897</v>
      </c>
      <c r="H154" s="136">
        <v>0</v>
      </c>
      <c r="I154" s="85">
        <v>34897</v>
      </c>
      <c r="J154" s="261"/>
      <c r="K154" s="58">
        <v>2068</v>
      </c>
      <c r="L154" s="105">
        <v>34897</v>
      </c>
      <c r="M154" s="105">
        <f t="shared" si="17"/>
        <v>0</v>
      </c>
    </row>
    <row r="155" spans="1:14" s="137" customFormat="1" ht="31.5" x14ac:dyDescent="0.25">
      <c r="A155" s="297"/>
      <c r="B155" s="304"/>
      <c r="C155" s="297"/>
      <c r="D155" s="306"/>
      <c r="E155" s="33" t="s">
        <v>134</v>
      </c>
      <c r="F155" s="261">
        <v>2021</v>
      </c>
      <c r="G155" s="85">
        <v>0</v>
      </c>
      <c r="H155" s="136">
        <v>0</v>
      </c>
      <c r="I155" s="85">
        <v>381000</v>
      </c>
      <c r="J155" s="261"/>
      <c r="K155" s="58">
        <v>2070</v>
      </c>
      <c r="L155" s="105">
        <v>380400</v>
      </c>
      <c r="M155" s="105">
        <f t="shared" si="17"/>
        <v>600</v>
      </c>
    </row>
    <row r="156" spans="1:14" s="137" customFormat="1" ht="31.5" x14ac:dyDescent="0.25">
      <c r="A156" s="297"/>
      <c r="B156" s="304"/>
      <c r="C156" s="297"/>
      <c r="D156" s="306"/>
      <c r="E156" s="33" t="s">
        <v>101</v>
      </c>
      <c r="F156" s="261">
        <v>2021</v>
      </c>
      <c r="G156" s="85">
        <f t="shared" ref="G156:G159" si="19">I156</f>
        <v>38835</v>
      </c>
      <c r="H156" s="136">
        <v>0</v>
      </c>
      <c r="I156" s="85">
        <v>38835</v>
      </c>
      <c r="J156" s="261"/>
      <c r="K156" s="58">
        <v>2071</v>
      </c>
      <c r="L156" s="105">
        <v>38835</v>
      </c>
      <c r="M156" s="105">
        <f t="shared" si="17"/>
        <v>0</v>
      </c>
    </row>
    <row r="157" spans="1:14" s="137" customFormat="1" ht="18.75" x14ac:dyDescent="0.25">
      <c r="A157" s="297"/>
      <c r="B157" s="304"/>
      <c r="C157" s="297"/>
      <c r="D157" s="306"/>
      <c r="E157" s="33" t="s">
        <v>360</v>
      </c>
      <c r="F157" s="261">
        <v>2021</v>
      </c>
      <c r="G157" s="85">
        <f>G156+1072144</f>
        <v>1110979</v>
      </c>
      <c r="H157" s="136">
        <v>0</v>
      </c>
      <c r="I157" s="85">
        <v>1072144</v>
      </c>
      <c r="J157" s="261"/>
      <c r="K157" s="58">
        <v>2071</v>
      </c>
      <c r="L157" s="62">
        <f>12760.09+859054.8+19995.36</f>
        <v>891810.25</v>
      </c>
      <c r="M157" s="105">
        <f t="shared" si="17"/>
        <v>180333.75</v>
      </c>
    </row>
    <row r="158" spans="1:14" s="137" customFormat="1" ht="31.5" x14ac:dyDescent="0.25">
      <c r="A158" s="297"/>
      <c r="B158" s="304"/>
      <c r="C158" s="297"/>
      <c r="D158" s="306"/>
      <c r="E158" s="33" t="s">
        <v>110</v>
      </c>
      <c r="F158" s="261">
        <v>2021</v>
      </c>
      <c r="G158" s="85">
        <f t="shared" si="19"/>
        <v>49005</v>
      </c>
      <c r="H158" s="136">
        <v>0</v>
      </c>
      <c r="I158" s="85">
        <v>49005</v>
      </c>
      <c r="J158" s="261"/>
      <c r="K158" s="58">
        <v>2072</v>
      </c>
      <c r="L158" s="105">
        <v>49005</v>
      </c>
      <c r="M158" s="105">
        <f t="shared" si="17"/>
        <v>0</v>
      </c>
    </row>
    <row r="159" spans="1:14" s="137" customFormat="1" ht="31.5" x14ac:dyDescent="0.25">
      <c r="A159" s="297"/>
      <c r="B159" s="304"/>
      <c r="C159" s="297"/>
      <c r="D159" s="306"/>
      <c r="E159" s="33" t="s">
        <v>102</v>
      </c>
      <c r="F159" s="261">
        <v>2021</v>
      </c>
      <c r="G159" s="85">
        <f t="shared" si="19"/>
        <v>40977</v>
      </c>
      <c r="H159" s="136">
        <v>0</v>
      </c>
      <c r="I159" s="85">
        <v>40977</v>
      </c>
      <c r="J159" s="261"/>
      <c r="K159" s="58">
        <v>2073</v>
      </c>
      <c r="L159" s="105">
        <v>40977</v>
      </c>
      <c r="M159" s="105">
        <f t="shared" si="17"/>
        <v>0</v>
      </c>
    </row>
    <row r="160" spans="1:14" s="137" customFormat="1" ht="31.5" x14ac:dyDescent="0.25">
      <c r="A160" s="297"/>
      <c r="B160" s="304"/>
      <c r="C160" s="297"/>
      <c r="D160" s="306"/>
      <c r="E160" s="33" t="s">
        <v>103</v>
      </c>
      <c r="F160" s="261">
        <v>2021</v>
      </c>
      <c r="G160" s="85">
        <f>I160</f>
        <v>40356</v>
      </c>
      <c r="H160" s="136">
        <v>0</v>
      </c>
      <c r="I160" s="85">
        <v>40356</v>
      </c>
      <c r="J160" s="261"/>
      <c r="K160" s="58">
        <v>2074</v>
      </c>
      <c r="L160" s="105">
        <v>40356</v>
      </c>
      <c r="M160" s="105">
        <f t="shared" si="17"/>
        <v>0</v>
      </c>
    </row>
    <row r="161" spans="1:13" s="137" customFormat="1" ht="18.75" customHeight="1" x14ac:dyDescent="0.25">
      <c r="A161" s="297"/>
      <c r="B161" s="304"/>
      <c r="C161" s="297"/>
      <c r="D161" s="306"/>
      <c r="E161" s="33" t="s">
        <v>147</v>
      </c>
      <c r="F161" s="261">
        <v>2021</v>
      </c>
      <c r="G161" s="85">
        <f>I161</f>
        <v>421072.42</v>
      </c>
      <c r="H161" s="136">
        <v>0</v>
      </c>
      <c r="I161" s="85">
        <f>499860-78787.58</f>
        <v>421072.42</v>
      </c>
      <c r="J161" s="261"/>
      <c r="K161" s="58">
        <v>2100</v>
      </c>
      <c r="L161" s="105">
        <f>415000+6072.42</f>
        <v>421072.42</v>
      </c>
      <c r="M161" s="105">
        <f t="shared" si="17"/>
        <v>0</v>
      </c>
    </row>
    <row r="162" spans="1:13" s="137" customFormat="1" ht="31.5" x14ac:dyDescent="0.25">
      <c r="A162" s="297"/>
      <c r="B162" s="304"/>
      <c r="C162" s="297"/>
      <c r="D162" s="306"/>
      <c r="E162" s="33" t="s">
        <v>148</v>
      </c>
      <c r="F162" s="261">
        <v>2021</v>
      </c>
      <c r="G162" s="85">
        <f>I162</f>
        <v>3025397</v>
      </c>
      <c r="H162" s="136">
        <v>0</v>
      </c>
      <c r="I162" s="85">
        <v>3025397</v>
      </c>
      <c r="J162" s="261"/>
      <c r="K162" s="58">
        <v>2101</v>
      </c>
      <c r="L162" s="105">
        <f>2154795.24+8400+456761.41+8400</f>
        <v>2628356.6500000004</v>
      </c>
      <c r="M162" s="105">
        <f t="shared" si="17"/>
        <v>397040.34999999963</v>
      </c>
    </row>
    <row r="163" spans="1:13" s="137" customFormat="1" ht="31.5" x14ac:dyDescent="0.25">
      <c r="A163" s="297"/>
      <c r="B163" s="304"/>
      <c r="C163" s="297"/>
      <c r="D163" s="306"/>
      <c r="E163" s="33" t="s">
        <v>151</v>
      </c>
      <c r="F163" s="261">
        <v>2021</v>
      </c>
      <c r="G163" s="85">
        <f>115243</f>
        <v>115243</v>
      </c>
      <c r="H163" s="136">
        <v>0</v>
      </c>
      <c r="I163" s="85">
        <v>115243</v>
      </c>
      <c r="J163" s="261"/>
      <c r="K163" s="58">
        <v>2114</v>
      </c>
      <c r="L163" s="105">
        <f>111916.01+1644.68</f>
        <v>113560.68999999999</v>
      </c>
      <c r="M163" s="105">
        <f t="shared" si="17"/>
        <v>1682.3100000000122</v>
      </c>
    </row>
    <row r="164" spans="1:13" s="137" customFormat="1" ht="18.75" x14ac:dyDescent="0.25">
      <c r="A164" s="297"/>
      <c r="B164" s="304"/>
      <c r="C164" s="297"/>
      <c r="D164" s="306"/>
      <c r="E164" s="33" t="s">
        <v>243</v>
      </c>
      <c r="F164" s="261">
        <v>2021</v>
      </c>
      <c r="G164" s="85">
        <v>1272809</v>
      </c>
      <c r="H164" s="136">
        <v>0</v>
      </c>
      <c r="I164" s="85">
        <v>1272809</v>
      </c>
      <c r="J164" s="261"/>
      <c r="K164" s="58">
        <v>2143</v>
      </c>
      <c r="L164" s="105">
        <f>1257160.66</f>
        <v>1257160.6599999999</v>
      </c>
      <c r="M164" s="105">
        <f t="shared" si="17"/>
        <v>15648.340000000084</v>
      </c>
    </row>
    <row r="165" spans="1:13" s="137" customFormat="1" ht="18.75" x14ac:dyDescent="0.25">
      <c r="A165" s="297"/>
      <c r="B165" s="304"/>
      <c r="C165" s="297"/>
      <c r="D165" s="306"/>
      <c r="E165" s="33" t="s">
        <v>253</v>
      </c>
      <c r="F165" s="261">
        <v>2021</v>
      </c>
      <c r="G165" s="85">
        <v>767239</v>
      </c>
      <c r="H165" s="136">
        <v>0</v>
      </c>
      <c r="I165" s="85">
        <v>767239</v>
      </c>
      <c r="J165" s="261"/>
      <c r="K165" s="58">
        <v>2152</v>
      </c>
      <c r="L165" s="62">
        <v>726208.82</v>
      </c>
      <c r="M165" s="105">
        <f t="shared" si="17"/>
        <v>41030.180000000051</v>
      </c>
    </row>
    <row r="166" spans="1:13" s="137" customFormat="1" ht="18.75" x14ac:dyDescent="0.25">
      <c r="A166" s="297"/>
      <c r="B166" s="304"/>
      <c r="C166" s="297"/>
      <c r="D166" s="306"/>
      <c r="E166" s="33" t="s">
        <v>269</v>
      </c>
      <c r="F166" s="261">
        <v>2021</v>
      </c>
      <c r="G166" s="85">
        <v>995000</v>
      </c>
      <c r="H166" s="136">
        <v>0</v>
      </c>
      <c r="I166" s="85">
        <f>G166</f>
        <v>995000</v>
      </c>
      <c r="J166" s="261"/>
      <c r="K166" s="58">
        <v>2165</v>
      </c>
      <c r="L166" s="105">
        <f>987431.32+30</f>
        <v>987461.32</v>
      </c>
      <c r="M166" s="105">
        <f t="shared" si="17"/>
        <v>7538.6800000000512</v>
      </c>
    </row>
    <row r="167" spans="1:13" s="137" customFormat="1" ht="31.5" x14ac:dyDescent="0.25">
      <c r="A167" s="297"/>
      <c r="B167" s="304"/>
      <c r="C167" s="297"/>
      <c r="D167" s="306"/>
      <c r="E167" s="33" t="s">
        <v>270</v>
      </c>
      <c r="F167" s="261">
        <v>2021</v>
      </c>
      <c r="G167" s="85">
        <v>38981</v>
      </c>
      <c r="H167" s="136">
        <v>0</v>
      </c>
      <c r="I167" s="85">
        <f t="shared" ref="I167:I169" si="20">G167</f>
        <v>38981</v>
      </c>
      <c r="J167" s="261"/>
      <c r="K167" s="58">
        <v>2166</v>
      </c>
      <c r="L167" s="105">
        <v>38981</v>
      </c>
      <c r="M167" s="105">
        <f t="shared" si="17"/>
        <v>0</v>
      </c>
    </row>
    <row r="168" spans="1:13" s="137" customFormat="1" ht="31.5" x14ac:dyDescent="0.25">
      <c r="A168" s="297"/>
      <c r="B168" s="304"/>
      <c r="C168" s="297"/>
      <c r="D168" s="306"/>
      <c r="E168" s="33" t="s">
        <v>271</v>
      </c>
      <c r="F168" s="261">
        <v>2021</v>
      </c>
      <c r="G168" s="85">
        <v>40198</v>
      </c>
      <c r="H168" s="136">
        <v>0</v>
      </c>
      <c r="I168" s="85">
        <f t="shared" si="20"/>
        <v>40198</v>
      </c>
      <c r="J168" s="261"/>
      <c r="K168" s="58">
        <v>2167</v>
      </c>
      <c r="L168" s="105">
        <v>40198</v>
      </c>
      <c r="M168" s="105">
        <f t="shared" si="17"/>
        <v>0</v>
      </c>
    </row>
    <row r="169" spans="1:13" s="137" customFormat="1" ht="31.5" x14ac:dyDescent="0.25">
      <c r="A169" s="297"/>
      <c r="B169" s="304"/>
      <c r="C169" s="297"/>
      <c r="D169" s="306"/>
      <c r="E169" s="33" t="s">
        <v>272</v>
      </c>
      <c r="F169" s="261">
        <v>2021</v>
      </c>
      <c r="G169" s="85">
        <v>42532</v>
      </c>
      <c r="H169" s="136">
        <v>0</v>
      </c>
      <c r="I169" s="85">
        <f t="shared" si="20"/>
        <v>42532</v>
      </c>
      <c r="J169" s="261"/>
      <c r="K169" s="58">
        <v>2168</v>
      </c>
      <c r="L169" s="105">
        <v>42532</v>
      </c>
      <c r="M169" s="105">
        <f t="shared" si="17"/>
        <v>0</v>
      </c>
    </row>
    <row r="170" spans="1:13" s="137" customFormat="1" ht="31.5" x14ac:dyDescent="0.25">
      <c r="A170" s="297"/>
      <c r="B170" s="304"/>
      <c r="C170" s="297"/>
      <c r="D170" s="306"/>
      <c r="E170" s="33" t="s">
        <v>328</v>
      </c>
      <c r="F170" s="261">
        <v>2021</v>
      </c>
      <c r="G170" s="85">
        <v>2444069</v>
      </c>
      <c r="H170" s="136">
        <v>0</v>
      </c>
      <c r="I170" s="85">
        <f>G170</f>
        <v>2444069</v>
      </c>
      <c r="J170" s="261"/>
      <c r="K170" s="58">
        <v>2201</v>
      </c>
      <c r="L170" s="105">
        <f>49386+2276056.8+7560+49386</f>
        <v>2382388.7999999998</v>
      </c>
      <c r="M170" s="105">
        <f t="shared" si="17"/>
        <v>61680.200000000186</v>
      </c>
    </row>
    <row r="171" spans="1:13" s="137" customFormat="1" ht="31.5" x14ac:dyDescent="0.25">
      <c r="A171" s="297"/>
      <c r="B171" s="304"/>
      <c r="C171" s="297"/>
      <c r="D171" s="306"/>
      <c r="E171" s="33" t="s">
        <v>329</v>
      </c>
      <c r="F171" s="261">
        <v>2021</v>
      </c>
      <c r="G171" s="85">
        <v>1035749</v>
      </c>
      <c r="H171" s="136">
        <v>0</v>
      </c>
      <c r="I171" s="85">
        <f>G171</f>
        <v>1035749</v>
      </c>
      <c r="J171" s="261"/>
      <c r="K171" s="58">
        <v>2202</v>
      </c>
      <c r="L171" s="62">
        <f>758867.52+11269.07</f>
        <v>770136.59</v>
      </c>
      <c r="M171" s="105">
        <f t="shared" si="17"/>
        <v>265612.41000000003</v>
      </c>
    </row>
    <row r="172" spans="1:13" s="137" customFormat="1" ht="18.75" x14ac:dyDescent="0.25">
      <c r="A172" s="297"/>
      <c r="B172" s="304"/>
      <c r="C172" s="297"/>
      <c r="D172" s="306"/>
      <c r="E172" s="33" t="s">
        <v>356</v>
      </c>
      <c r="F172" s="261">
        <v>2021</v>
      </c>
      <c r="G172" s="85">
        <v>1502542</v>
      </c>
      <c r="H172" s="136">
        <v>0</v>
      </c>
      <c r="I172" s="85">
        <v>870928</v>
      </c>
      <c r="J172" s="261"/>
      <c r="K172" s="58">
        <v>2220</v>
      </c>
      <c r="L172" s="62">
        <v>516057.75</v>
      </c>
      <c r="M172" s="105">
        <f t="shared" si="17"/>
        <v>354870.25</v>
      </c>
    </row>
    <row r="173" spans="1:13" s="137" customFormat="1" ht="18.75" x14ac:dyDescent="0.25">
      <c r="A173" s="297"/>
      <c r="B173" s="304"/>
      <c r="C173" s="297"/>
      <c r="D173" s="306"/>
      <c r="E173" s="33" t="s">
        <v>10</v>
      </c>
      <c r="F173" s="261">
        <v>2021</v>
      </c>
      <c r="G173" s="85">
        <v>0</v>
      </c>
      <c r="H173" s="136">
        <v>0</v>
      </c>
      <c r="I173" s="85">
        <v>170000</v>
      </c>
      <c r="J173" s="261"/>
      <c r="K173" s="58">
        <v>2038</v>
      </c>
      <c r="L173" s="105">
        <v>149000</v>
      </c>
      <c r="M173" s="105">
        <f>I173-L173</f>
        <v>21000</v>
      </c>
    </row>
    <row r="174" spans="1:13" s="137" customFormat="1" ht="18.75" x14ac:dyDescent="0.25">
      <c r="A174" s="297"/>
      <c r="B174" s="304"/>
      <c r="C174" s="297"/>
      <c r="D174" s="306"/>
      <c r="E174" s="33" t="s">
        <v>361</v>
      </c>
      <c r="F174" s="261">
        <v>2021</v>
      </c>
      <c r="G174" s="85">
        <v>49117.66</v>
      </c>
      <c r="H174" s="136">
        <v>0</v>
      </c>
      <c r="I174" s="85">
        <v>49117.66</v>
      </c>
      <c r="J174" s="261"/>
      <c r="K174" s="58">
        <v>2221</v>
      </c>
      <c r="L174" s="62">
        <v>49117.66</v>
      </c>
      <c r="M174" s="105">
        <f t="shared" ref="M174:M175" si="21">I174-L174</f>
        <v>0</v>
      </c>
    </row>
    <row r="175" spans="1:13" s="137" customFormat="1" ht="18.75" x14ac:dyDescent="0.25">
      <c r="A175" s="294"/>
      <c r="B175" s="296"/>
      <c r="C175" s="294"/>
      <c r="D175" s="307"/>
      <c r="E175" s="33" t="s">
        <v>363</v>
      </c>
      <c r="F175" s="261">
        <v>2021</v>
      </c>
      <c r="G175" s="85">
        <v>1818919</v>
      </c>
      <c r="H175" s="136">
        <v>0</v>
      </c>
      <c r="I175" s="85">
        <v>964017</v>
      </c>
      <c r="J175" s="261"/>
      <c r="K175" s="58">
        <v>2223</v>
      </c>
      <c r="L175" s="62">
        <f>964017</f>
        <v>964017</v>
      </c>
      <c r="M175" s="105">
        <f t="shared" si="21"/>
        <v>0</v>
      </c>
    </row>
    <row r="176" spans="1:13" s="137" customFormat="1" ht="31.5" x14ac:dyDescent="0.25">
      <c r="A176" s="293" t="s">
        <v>57</v>
      </c>
      <c r="B176" s="295">
        <v>6040</v>
      </c>
      <c r="C176" s="293" t="s">
        <v>59</v>
      </c>
      <c r="D176" s="295" t="s">
        <v>58</v>
      </c>
      <c r="E176" s="33" t="s">
        <v>104</v>
      </c>
      <c r="F176" s="30">
        <v>2021</v>
      </c>
      <c r="G176" s="85">
        <f>I176</f>
        <v>49965</v>
      </c>
      <c r="H176" s="136">
        <v>0</v>
      </c>
      <c r="I176" s="85">
        <v>49965</v>
      </c>
      <c r="J176" s="30"/>
      <c r="K176" s="58">
        <v>2075</v>
      </c>
      <c r="L176" s="105">
        <v>49965</v>
      </c>
      <c r="M176" s="105">
        <f t="shared" si="17"/>
        <v>0</v>
      </c>
    </row>
    <row r="177" spans="1:13" s="137" customFormat="1" ht="31.5" x14ac:dyDescent="0.2">
      <c r="A177" s="294"/>
      <c r="B177" s="296"/>
      <c r="C177" s="294"/>
      <c r="D177" s="296"/>
      <c r="E177" s="15" t="s">
        <v>100</v>
      </c>
      <c r="F177" s="261">
        <v>2021</v>
      </c>
      <c r="G177" s="85">
        <f>I177</f>
        <v>3210095.66</v>
      </c>
      <c r="H177" s="136">
        <v>0</v>
      </c>
      <c r="I177" s="85">
        <f>3744531-534435.34</f>
        <v>3210095.66</v>
      </c>
      <c r="J177" s="261"/>
      <c r="K177" s="58">
        <v>2076</v>
      </c>
      <c r="L177" s="62">
        <f>2721913.3+435019.76+53162</f>
        <v>3210095.0599999996</v>
      </c>
      <c r="M177" s="105">
        <f t="shared" si="17"/>
        <v>0.60000000055879354</v>
      </c>
    </row>
    <row r="178" spans="1:13" s="137" customFormat="1" ht="31.5" x14ac:dyDescent="0.25">
      <c r="A178" s="338" t="s">
        <v>41</v>
      </c>
      <c r="B178" s="299">
        <v>7461</v>
      </c>
      <c r="C178" s="297" t="s">
        <v>20</v>
      </c>
      <c r="D178" s="306" t="s">
        <v>42</v>
      </c>
      <c r="E178" s="95" t="s">
        <v>129</v>
      </c>
      <c r="F178" s="203">
        <v>2021</v>
      </c>
      <c r="G178" s="85">
        <f>I178</f>
        <v>29313</v>
      </c>
      <c r="H178" s="136">
        <v>0</v>
      </c>
      <c r="I178" s="85">
        <v>29313</v>
      </c>
      <c r="J178" s="203"/>
      <c r="K178" s="58">
        <v>2079</v>
      </c>
      <c r="L178" s="105">
        <v>29313</v>
      </c>
      <c r="M178" s="105">
        <f t="shared" si="17"/>
        <v>0</v>
      </c>
    </row>
    <row r="179" spans="1:13" s="137" customFormat="1" ht="18.75" x14ac:dyDescent="0.25">
      <c r="A179" s="338"/>
      <c r="B179" s="299"/>
      <c r="C179" s="297"/>
      <c r="D179" s="306"/>
      <c r="E179" s="95" t="s">
        <v>239</v>
      </c>
      <c r="F179" s="261">
        <v>2021</v>
      </c>
      <c r="G179" s="85">
        <f>I179</f>
        <v>321735.34000000008</v>
      </c>
      <c r="H179" s="136">
        <v>0</v>
      </c>
      <c r="I179" s="85">
        <f>1380691+111806-1121261.66-49500</f>
        <v>321735.34000000008</v>
      </c>
      <c r="J179" s="261"/>
      <c r="K179" s="58">
        <v>2080</v>
      </c>
      <c r="L179" s="105"/>
      <c r="M179" s="105">
        <f t="shared" si="17"/>
        <v>321735.34000000008</v>
      </c>
    </row>
    <row r="180" spans="1:13" s="137" customFormat="1" ht="31.5" x14ac:dyDescent="0.25">
      <c r="A180" s="338"/>
      <c r="B180" s="299"/>
      <c r="C180" s="297"/>
      <c r="D180" s="306"/>
      <c r="E180" s="95" t="s">
        <v>106</v>
      </c>
      <c r="F180" s="30">
        <v>2021</v>
      </c>
      <c r="G180" s="85">
        <f t="shared" ref="G180:G181" si="22">I180</f>
        <v>48777</v>
      </c>
      <c r="H180" s="136">
        <v>0</v>
      </c>
      <c r="I180" s="85">
        <v>48777</v>
      </c>
      <c r="J180" s="30"/>
      <c r="K180" s="58">
        <v>2081</v>
      </c>
      <c r="L180" s="105">
        <f>I180</f>
        <v>48777</v>
      </c>
      <c r="M180" s="105">
        <f t="shared" si="17"/>
        <v>0</v>
      </c>
    </row>
    <row r="181" spans="1:13" s="137" customFormat="1" ht="31.5" x14ac:dyDescent="0.25">
      <c r="A181" s="338"/>
      <c r="B181" s="299"/>
      <c r="C181" s="297"/>
      <c r="D181" s="306"/>
      <c r="E181" s="95" t="s">
        <v>105</v>
      </c>
      <c r="F181" s="30">
        <v>2021</v>
      </c>
      <c r="G181" s="85">
        <f t="shared" si="22"/>
        <v>47835</v>
      </c>
      <c r="H181" s="136">
        <v>0</v>
      </c>
      <c r="I181" s="85">
        <v>47835</v>
      </c>
      <c r="J181" s="30"/>
      <c r="K181" s="58">
        <v>2082</v>
      </c>
      <c r="L181" s="105">
        <f>I181</f>
        <v>47835</v>
      </c>
      <c r="M181" s="105">
        <f t="shared" si="17"/>
        <v>0</v>
      </c>
    </row>
    <row r="182" spans="1:13" s="137" customFormat="1" ht="31.5" x14ac:dyDescent="0.25">
      <c r="A182" s="338"/>
      <c r="B182" s="299"/>
      <c r="C182" s="297"/>
      <c r="D182" s="306"/>
      <c r="E182" s="95" t="s">
        <v>109</v>
      </c>
      <c r="F182" s="30">
        <v>2021</v>
      </c>
      <c r="G182" s="85">
        <f t="shared" ref="G182:G191" si="23">I182</f>
        <v>25000</v>
      </c>
      <c r="H182" s="136">
        <v>0</v>
      </c>
      <c r="I182" s="85">
        <v>25000</v>
      </c>
      <c r="J182" s="30"/>
      <c r="K182" s="58">
        <v>2083</v>
      </c>
      <c r="L182" s="105">
        <f>I182</f>
        <v>25000</v>
      </c>
      <c r="M182" s="105">
        <f t="shared" si="17"/>
        <v>0</v>
      </c>
    </row>
    <row r="183" spans="1:13" s="137" customFormat="1" ht="31.5" x14ac:dyDescent="0.25">
      <c r="A183" s="338"/>
      <c r="B183" s="299"/>
      <c r="C183" s="297"/>
      <c r="D183" s="306"/>
      <c r="E183" s="95" t="s">
        <v>130</v>
      </c>
      <c r="F183" s="30">
        <v>2021</v>
      </c>
      <c r="G183" s="85">
        <f t="shared" si="23"/>
        <v>49899</v>
      </c>
      <c r="H183" s="136">
        <v>0</v>
      </c>
      <c r="I183" s="85">
        <v>49899</v>
      </c>
      <c r="J183" s="30"/>
      <c r="K183" s="58">
        <v>2084</v>
      </c>
      <c r="L183" s="105">
        <f>I183</f>
        <v>49899</v>
      </c>
      <c r="M183" s="105">
        <f t="shared" si="17"/>
        <v>0</v>
      </c>
    </row>
    <row r="184" spans="1:13" s="137" customFormat="1" ht="31.5" x14ac:dyDescent="0.25">
      <c r="A184" s="338"/>
      <c r="B184" s="299"/>
      <c r="C184" s="297"/>
      <c r="D184" s="306"/>
      <c r="E184" s="95" t="s">
        <v>131</v>
      </c>
      <c r="F184" s="30">
        <v>2021</v>
      </c>
      <c r="G184" s="85">
        <f t="shared" si="23"/>
        <v>35854</v>
      </c>
      <c r="H184" s="136">
        <v>0</v>
      </c>
      <c r="I184" s="85">
        <v>35854</v>
      </c>
      <c r="J184" s="30"/>
      <c r="K184" s="58">
        <v>2085</v>
      </c>
      <c r="L184" s="105">
        <f>I184</f>
        <v>35854</v>
      </c>
      <c r="M184" s="105">
        <f t="shared" si="17"/>
        <v>0</v>
      </c>
    </row>
    <row r="185" spans="1:13" s="137" customFormat="1" ht="31.5" x14ac:dyDescent="0.25">
      <c r="A185" s="338"/>
      <c r="B185" s="299"/>
      <c r="C185" s="297"/>
      <c r="D185" s="306"/>
      <c r="E185" s="95" t="s">
        <v>132</v>
      </c>
      <c r="F185" s="30">
        <v>2021</v>
      </c>
      <c r="G185" s="85">
        <f t="shared" si="23"/>
        <v>197823</v>
      </c>
      <c r="H185" s="136">
        <v>0</v>
      </c>
      <c r="I185" s="85">
        <v>197823</v>
      </c>
      <c r="J185" s="30"/>
      <c r="K185" s="58">
        <v>2086</v>
      </c>
      <c r="L185" s="105">
        <v>196302</v>
      </c>
      <c r="M185" s="105">
        <f t="shared" si="17"/>
        <v>1521</v>
      </c>
    </row>
    <row r="186" spans="1:13" s="137" customFormat="1" ht="31.5" x14ac:dyDescent="0.25">
      <c r="A186" s="338"/>
      <c r="B186" s="299"/>
      <c r="C186" s="297"/>
      <c r="D186" s="306"/>
      <c r="E186" s="95" t="s">
        <v>133</v>
      </c>
      <c r="F186" s="30">
        <v>2021</v>
      </c>
      <c r="G186" s="85">
        <f t="shared" si="23"/>
        <v>49122</v>
      </c>
      <c r="H186" s="136">
        <v>0</v>
      </c>
      <c r="I186" s="85">
        <v>49122</v>
      </c>
      <c r="J186" s="30"/>
      <c r="K186" s="58">
        <v>2087</v>
      </c>
      <c r="L186" s="105">
        <f>I186</f>
        <v>49122</v>
      </c>
      <c r="M186" s="105">
        <f t="shared" si="17"/>
        <v>0</v>
      </c>
    </row>
    <row r="187" spans="1:13" s="137" customFormat="1" ht="31.5" x14ac:dyDescent="0.25">
      <c r="A187" s="338"/>
      <c r="B187" s="299"/>
      <c r="C187" s="297"/>
      <c r="D187" s="306"/>
      <c r="E187" s="95" t="s">
        <v>108</v>
      </c>
      <c r="F187" s="30">
        <v>2021</v>
      </c>
      <c r="G187" s="85">
        <f t="shared" si="23"/>
        <v>49730</v>
      </c>
      <c r="H187" s="136">
        <v>0</v>
      </c>
      <c r="I187" s="85">
        <v>49730</v>
      </c>
      <c r="J187" s="30"/>
      <c r="K187" s="58">
        <v>2088</v>
      </c>
      <c r="L187" s="105">
        <f>I187</f>
        <v>49730</v>
      </c>
      <c r="M187" s="105">
        <f t="shared" si="17"/>
        <v>0</v>
      </c>
    </row>
    <row r="188" spans="1:13" s="137" customFormat="1" ht="31.5" x14ac:dyDescent="0.25">
      <c r="A188" s="338"/>
      <c r="B188" s="299"/>
      <c r="C188" s="297"/>
      <c r="D188" s="306"/>
      <c r="E188" s="33" t="s">
        <v>107</v>
      </c>
      <c r="F188" s="30">
        <v>2021</v>
      </c>
      <c r="G188" s="85">
        <f t="shared" si="23"/>
        <v>152924</v>
      </c>
      <c r="H188" s="136">
        <v>0</v>
      </c>
      <c r="I188" s="85">
        <v>152924</v>
      </c>
      <c r="J188" s="30"/>
      <c r="K188" s="58">
        <v>2089</v>
      </c>
      <c r="L188" s="105"/>
      <c r="M188" s="105">
        <f t="shared" si="17"/>
        <v>152924</v>
      </c>
    </row>
    <row r="189" spans="1:13" s="137" customFormat="1" ht="31.5" x14ac:dyDescent="0.25">
      <c r="A189" s="338"/>
      <c r="B189" s="299"/>
      <c r="C189" s="297"/>
      <c r="D189" s="306"/>
      <c r="E189" s="33" t="s">
        <v>111</v>
      </c>
      <c r="F189" s="30">
        <v>2021</v>
      </c>
      <c r="G189" s="85">
        <f t="shared" si="23"/>
        <v>49359</v>
      </c>
      <c r="H189" s="136">
        <v>0</v>
      </c>
      <c r="I189" s="85">
        <v>49359</v>
      </c>
      <c r="J189" s="30"/>
      <c r="K189" s="58">
        <v>2090</v>
      </c>
      <c r="L189" s="105">
        <f>I189</f>
        <v>49359</v>
      </c>
      <c r="M189" s="105">
        <f t="shared" si="17"/>
        <v>0</v>
      </c>
    </row>
    <row r="190" spans="1:13" s="137" customFormat="1" ht="31.5" x14ac:dyDescent="0.25">
      <c r="A190" s="338"/>
      <c r="B190" s="299"/>
      <c r="C190" s="297"/>
      <c r="D190" s="306"/>
      <c r="E190" s="95" t="s">
        <v>135</v>
      </c>
      <c r="F190" s="30">
        <v>2021</v>
      </c>
      <c r="G190" s="85">
        <f t="shared" si="23"/>
        <v>25375</v>
      </c>
      <c r="H190" s="136">
        <v>0</v>
      </c>
      <c r="I190" s="85">
        <v>25375</v>
      </c>
      <c r="J190" s="30"/>
      <c r="K190" s="58">
        <v>2091</v>
      </c>
      <c r="L190" s="105">
        <f>I190</f>
        <v>25375</v>
      </c>
      <c r="M190" s="105">
        <f t="shared" si="17"/>
        <v>0</v>
      </c>
    </row>
    <row r="191" spans="1:13" s="137" customFormat="1" ht="47.25" x14ac:dyDescent="0.25">
      <c r="A191" s="338"/>
      <c r="B191" s="299"/>
      <c r="C191" s="297"/>
      <c r="D191" s="306"/>
      <c r="E191" s="33" t="s">
        <v>112</v>
      </c>
      <c r="F191" s="30">
        <v>2021</v>
      </c>
      <c r="G191" s="85">
        <f t="shared" si="23"/>
        <v>165400</v>
      </c>
      <c r="H191" s="136">
        <v>0</v>
      </c>
      <c r="I191" s="85">
        <v>165400</v>
      </c>
      <c r="J191" s="30"/>
      <c r="K191" s="58">
        <v>2092</v>
      </c>
      <c r="L191" s="105">
        <v>163473</v>
      </c>
      <c r="M191" s="105">
        <f t="shared" si="17"/>
        <v>1927</v>
      </c>
    </row>
    <row r="192" spans="1:13" s="166" customFormat="1" ht="31.5" x14ac:dyDescent="0.25">
      <c r="A192" s="338"/>
      <c r="B192" s="299"/>
      <c r="C192" s="297"/>
      <c r="D192" s="306"/>
      <c r="E192" s="33" t="s">
        <v>152</v>
      </c>
      <c r="F192" s="30">
        <v>2021</v>
      </c>
      <c r="G192" s="85">
        <f>I192</f>
        <v>455618.78</v>
      </c>
      <c r="H192" s="136">
        <v>0</v>
      </c>
      <c r="I192" s="85">
        <v>455618.78</v>
      </c>
      <c r="J192" s="30"/>
      <c r="K192" s="100">
        <v>2102</v>
      </c>
      <c r="L192" s="107"/>
      <c r="M192" s="107">
        <f t="shared" si="17"/>
        <v>455618.78</v>
      </c>
    </row>
    <row r="193" spans="1:52" s="166" customFormat="1" ht="31.5" x14ac:dyDescent="0.25">
      <c r="A193" s="338"/>
      <c r="B193" s="299"/>
      <c r="C193" s="297"/>
      <c r="D193" s="306"/>
      <c r="E193" s="33" t="s">
        <v>153</v>
      </c>
      <c r="F193" s="30">
        <v>2021</v>
      </c>
      <c r="G193" s="85">
        <f>I193</f>
        <v>6575.93</v>
      </c>
      <c r="H193" s="136">
        <v>0</v>
      </c>
      <c r="I193" s="85">
        <v>6575.93</v>
      </c>
      <c r="J193" s="30"/>
      <c r="K193" s="100">
        <v>2103</v>
      </c>
      <c r="L193" s="107"/>
      <c r="M193" s="107">
        <f t="shared" si="17"/>
        <v>6575.93</v>
      </c>
    </row>
    <row r="194" spans="1:52" s="166" customFormat="1" ht="31.5" x14ac:dyDescent="0.25">
      <c r="A194" s="338"/>
      <c r="B194" s="299"/>
      <c r="C194" s="297"/>
      <c r="D194" s="306"/>
      <c r="E194" s="33" t="s">
        <v>149</v>
      </c>
      <c r="F194" s="30">
        <v>2021</v>
      </c>
      <c r="G194" s="85">
        <f>I194</f>
        <v>4649124</v>
      </c>
      <c r="H194" s="136">
        <v>0</v>
      </c>
      <c r="I194" s="85">
        <v>4649124</v>
      </c>
      <c r="J194" s="30"/>
      <c r="K194" s="100">
        <v>2104</v>
      </c>
      <c r="L194" s="262">
        <f>13020+1722326.19+1415062.1+796977.06+11670.49+49811</f>
        <v>4008866.8400000003</v>
      </c>
      <c r="M194" s="107">
        <f t="shared" si="17"/>
        <v>640257.15999999968</v>
      </c>
    </row>
    <row r="195" spans="1:52" s="137" customFormat="1" ht="31.5" x14ac:dyDescent="0.25">
      <c r="A195" s="338"/>
      <c r="B195" s="299"/>
      <c r="C195" s="297"/>
      <c r="D195" s="306"/>
      <c r="E195" s="33" t="s">
        <v>146</v>
      </c>
      <c r="F195" s="30">
        <v>2021</v>
      </c>
      <c r="G195" s="85">
        <f>I195</f>
        <v>2086945</v>
      </c>
      <c r="H195" s="136">
        <v>0</v>
      </c>
      <c r="I195" s="85">
        <v>2086945</v>
      </c>
      <c r="J195" s="30"/>
      <c r="K195" s="58">
        <v>2105</v>
      </c>
      <c r="L195" s="62">
        <f>6289.5+1602174.16+103499.08</f>
        <v>1711962.74</v>
      </c>
      <c r="M195" s="105">
        <f t="shared" si="17"/>
        <v>374982.26</v>
      </c>
    </row>
    <row r="196" spans="1:52" s="137" customFormat="1" ht="18.75" x14ac:dyDescent="0.25">
      <c r="A196" s="338"/>
      <c r="B196" s="299"/>
      <c r="C196" s="297"/>
      <c r="D196" s="306"/>
      <c r="E196" s="33" t="s">
        <v>242</v>
      </c>
      <c r="F196" s="30">
        <v>2021</v>
      </c>
      <c r="G196" s="85">
        <v>2639078</v>
      </c>
      <c r="H196" s="136">
        <v>0</v>
      </c>
      <c r="I196" s="85">
        <f>G196</f>
        <v>2639078</v>
      </c>
      <c r="J196" s="30"/>
      <c r="K196" s="58">
        <v>2141</v>
      </c>
      <c r="L196" s="62">
        <f>590409.9+1545060.32</f>
        <v>2135470.2200000002</v>
      </c>
      <c r="M196" s="105">
        <f t="shared" si="17"/>
        <v>503607.7799999998</v>
      </c>
    </row>
    <row r="197" spans="1:52" s="137" customFormat="1" ht="31.5" x14ac:dyDescent="0.25">
      <c r="A197" s="338"/>
      <c r="B197" s="299"/>
      <c r="C197" s="297"/>
      <c r="D197" s="306"/>
      <c r="E197" s="33" t="s">
        <v>314</v>
      </c>
      <c r="F197" s="198">
        <v>2021</v>
      </c>
      <c r="G197" s="85">
        <v>1729192</v>
      </c>
      <c r="H197" s="136">
        <v>0</v>
      </c>
      <c r="I197" s="85">
        <v>1729192</v>
      </c>
      <c r="J197" s="198"/>
      <c r="K197" s="58">
        <v>2196</v>
      </c>
      <c r="L197" s="62">
        <f>47728+1296235.33</f>
        <v>1343963.33</v>
      </c>
      <c r="M197" s="105">
        <f t="shared" si="17"/>
        <v>385228.66999999993</v>
      </c>
    </row>
    <row r="198" spans="1:52" s="137" customFormat="1" ht="31.5" x14ac:dyDescent="0.25">
      <c r="A198" s="338"/>
      <c r="B198" s="299"/>
      <c r="C198" s="297"/>
      <c r="D198" s="306"/>
      <c r="E198" s="33" t="s">
        <v>330</v>
      </c>
      <c r="F198" s="214">
        <v>2021</v>
      </c>
      <c r="G198" s="85">
        <v>1500000</v>
      </c>
      <c r="H198" s="136">
        <v>0</v>
      </c>
      <c r="I198" s="85">
        <f>G198</f>
        <v>1500000</v>
      </c>
      <c r="J198" s="214"/>
      <c r="K198" s="58">
        <v>2203</v>
      </c>
      <c r="L198" s="62">
        <f>22244.37+1331298.9+165.04</f>
        <v>1353708.31</v>
      </c>
      <c r="M198" s="105">
        <f t="shared" si="17"/>
        <v>146291.68999999994</v>
      </c>
    </row>
    <row r="199" spans="1:52" s="137" customFormat="1" ht="31.5" x14ac:dyDescent="0.25">
      <c r="A199" s="338"/>
      <c r="B199" s="299"/>
      <c r="C199" s="297"/>
      <c r="D199" s="306"/>
      <c r="E199" s="33" t="s">
        <v>331</v>
      </c>
      <c r="F199" s="214">
        <v>2021</v>
      </c>
      <c r="G199" s="85">
        <v>1500000</v>
      </c>
      <c r="H199" s="136">
        <v>0</v>
      </c>
      <c r="I199" s="85">
        <f>G199</f>
        <v>1500000</v>
      </c>
      <c r="J199" s="214"/>
      <c r="K199" s="58">
        <v>2204</v>
      </c>
      <c r="L199" s="62">
        <f>22076.73+1105708.39+2584.07</f>
        <v>1130369.19</v>
      </c>
      <c r="M199" s="105">
        <f t="shared" si="17"/>
        <v>369630.81000000006</v>
      </c>
    </row>
    <row r="200" spans="1:52" s="137" customFormat="1" ht="31.5" x14ac:dyDescent="0.25">
      <c r="A200" s="339"/>
      <c r="B200" s="300"/>
      <c r="C200" s="294"/>
      <c r="D200" s="307"/>
      <c r="E200" s="33" t="s">
        <v>334</v>
      </c>
      <c r="F200" s="214">
        <v>2021</v>
      </c>
      <c r="G200" s="85">
        <v>1619192</v>
      </c>
      <c r="H200" s="136">
        <v>0</v>
      </c>
      <c r="I200" s="85">
        <f>G200</f>
        <v>1619192</v>
      </c>
      <c r="J200" s="214"/>
      <c r="K200" s="58">
        <v>2206</v>
      </c>
      <c r="L200" s="62">
        <v>1458299.46</v>
      </c>
      <c r="M200" s="105">
        <f t="shared" si="17"/>
        <v>160892.54000000004</v>
      </c>
    </row>
    <row r="201" spans="1:52" s="137" customFormat="1" ht="31.5" x14ac:dyDescent="0.25">
      <c r="A201" s="293" t="s">
        <v>118</v>
      </c>
      <c r="B201" s="295">
        <v>7330</v>
      </c>
      <c r="C201" s="293" t="s">
        <v>24</v>
      </c>
      <c r="D201" s="362" t="s">
        <v>117</v>
      </c>
      <c r="E201" s="33" t="s">
        <v>163</v>
      </c>
      <c r="F201" s="30">
        <v>2021</v>
      </c>
      <c r="G201" s="85">
        <f>I201</f>
        <v>49500</v>
      </c>
      <c r="H201" s="136">
        <v>0</v>
      </c>
      <c r="I201" s="85">
        <v>49500</v>
      </c>
      <c r="J201" s="30"/>
      <c r="K201" s="58">
        <v>2093</v>
      </c>
      <c r="L201" s="105">
        <v>49500</v>
      </c>
      <c r="M201" s="105">
        <f>I201-L201</f>
        <v>0</v>
      </c>
    </row>
    <row r="202" spans="1:52" s="137" customFormat="1" ht="31.5" x14ac:dyDescent="0.25">
      <c r="A202" s="297"/>
      <c r="B202" s="304"/>
      <c r="C202" s="297"/>
      <c r="D202" s="363"/>
      <c r="E202" s="33" t="s">
        <v>252</v>
      </c>
      <c r="F202" s="30">
        <v>2021</v>
      </c>
      <c r="G202" s="85">
        <v>193170</v>
      </c>
      <c r="H202" s="136">
        <v>0</v>
      </c>
      <c r="I202" s="85">
        <v>193170</v>
      </c>
      <c r="J202" s="30"/>
      <c r="K202" s="58">
        <v>2144</v>
      </c>
      <c r="L202" s="62">
        <v>193170</v>
      </c>
      <c r="M202" s="105">
        <f>I202-L202</f>
        <v>0</v>
      </c>
    </row>
    <row r="203" spans="1:52" s="137" customFormat="1" ht="31.5" x14ac:dyDescent="0.25">
      <c r="A203" s="297"/>
      <c r="B203" s="304"/>
      <c r="C203" s="297"/>
      <c r="D203" s="363"/>
      <c r="E203" s="33" t="s">
        <v>275</v>
      </c>
      <c r="F203" s="30">
        <v>2021</v>
      </c>
      <c r="G203" s="85">
        <v>53038930</v>
      </c>
      <c r="H203" s="136">
        <v>0</v>
      </c>
      <c r="I203" s="85">
        <v>17000000</v>
      </c>
      <c r="J203" s="30"/>
      <c r="K203" s="58">
        <v>2170</v>
      </c>
      <c r="L203" s="62">
        <f>5100000+3162756.48+2317748.63+48837.84</f>
        <v>10629342.949999999</v>
      </c>
      <c r="M203" s="105">
        <f>I203-L203</f>
        <v>6370657.0500000007</v>
      </c>
    </row>
    <row r="204" spans="1:52" s="137" customFormat="1" ht="31.5" x14ac:dyDescent="0.25">
      <c r="A204" s="297"/>
      <c r="B204" s="304"/>
      <c r="C204" s="297"/>
      <c r="D204" s="363"/>
      <c r="E204" s="33" t="s">
        <v>332</v>
      </c>
      <c r="F204" s="214">
        <v>2021</v>
      </c>
      <c r="G204" s="85">
        <v>2925293</v>
      </c>
      <c r="H204" s="136">
        <v>0</v>
      </c>
      <c r="I204" s="85">
        <f>G204</f>
        <v>2925293</v>
      </c>
      <c r="J204" s="214"/>
      <c r="K204" s="58">
        <v>2205</v>
      </c>
      <c r="L204" s="62">
        <f>16000+6480+2832247+61500</f>
        <v>2916227</v>
      </c>
      <c r="M204" s="105">
        <f>I204-L204</f>
        <v>9066</v>
      </c>
    </row>
    <row r="205" spans="1:52" s="137" customFormat="1" ht="31.5" x14ac:dyDescent="0.25">
      <c r="A205" s="294"/>
      <c r="B205" s="296"/>
      <c r="C205" s="294"/>
      <c r="D205" s="364"/>
      <c r="E205" s="33" t="s">
        <v>362</v>
      </c>
      <c r="F205" s="261">
        <v>2021</v>
      </c>
      <c r="G205" s="85">
        <v>49500</v>
      </c>
      <c r="H205" s="136">
        <v>0</v>
      </c>
      <c r="I205" s="85">
        <v>49500</v>
      </c>
      <c r="J205" s="261"/>
      <c r="K205" s="58">
        <v>2222</v>
      </c>
      <c r="L205" s="62">
        <v>49500</v>
      </c>
      <c r="M205" s="105">
        <f>I205-L205</f>
        <v>0</v>
      </c>
    </row>
    <row r="206" spans="1:52" s="121" customFormat="1" ht="18.75" customHeight="1" x14ac:dyDescent="0.2">
      <c r="D206" s="311" t="s">
        <v>140</v>
      </c>
      <c r="E206" s="312"/>
      <c r="F206" s="334"/>
      <c r="G206" s="334"/>
      <c r="H206" s="334"/>
      <c r="I206" s="334"/>
      <c r="J206" s="340"/>
      <c r="K206" s="120"/>
      <c r="L206" s="120"/>
      <c r="M206" s="120"/>
      <c r="N206" s="120"/>
      <c r="O206" s="120"/>
      <c r="P206" s="120"/>
      <c r="Q206" s="120"/>
      <c r="R206" s="120"/>
      <c r="S206" s="120"/>
      <c r="T206" s="120"/>
      <c r="U206" s="120"/>
      <c r="V206" s="120"/>
      <c r="W206" s="120"/>
      <c r="X206" s="120"/>
      <c r="Y206" s="120"/>
      <c r="Z206" s="120"/>
      <c r="AA206" s="120"/>
      <c r="AB206" s="120"/>
      <c r="AC206" s="120"/>
      <c r="AD206" s="120"/>
      <c r="AE206" s="120"/>
      <c r="AF206" s="120"/>
      <c r="AG206" s="120"/>
      <c r="AH206" s="120"/>
      <c r="AI206" s="120"/>
      <c r="AJ206" s="120"/>
      <c r="AK206" s="120"/>
      <c r="AL206" s="120"/>
      <c r="AM206" s="120"/>
      <c r="AN206" s="120"/>
      <c r="AO206" s="120"/>
      <c r="AP206" s="120"/>
      <c r="AQ206" s="120"/>
      <c r="AR206" s="120"/>
      <c r="AS206" s="120"/>
      <c r="AT206" s="120"/>
      <c r="AU206" s="120"/>
      <c r="AV206" s="120"/>
      <c r="AW206" s="120"/>
      <c r="AX206" s="120"/>
      <c r="AY206" s="120"/>
      <c r="AZ206" s="120"/>
    </row>
    <row r="207" spans="1:52" s="137" customFormat="1" ht="47.25" customHeight="1" x14ac:dyDescent="0.2">
      <c r="A207" s="289" t="s">
        <v>54</v>
      </c>
      <c r="B207" s="295">
        <v>7363</v>
      </c>
      <c r="C207" s="293" t="s">
        <v>5</v>
      </c>
      <c r="D207" s="301" t="s">
        <v>55</v>
      </c>
      <c r="E207" s="15" t="s">
        <v>340</v>
      </c>
      <c r="F207" s="279">
        <v>2021</v>
      </c>
      <c r="G207" s="85">
        <v>13633982</v>
      </c>
      <c r="H207" s="136">
        <v>0</v>
      </c>
      <c r="I207" s="85">
        <v>13633982</v>
      </c>
      <c r="J207" s="279"/>
      <c r="K207" s="58">
        <v>2210</v>
      </c>
      <c r="L207" s="62">
        <v>1219560.76</v>
      </c>
      <c r="M207" s="105">
        <f>I207-L207</f>
        <v>12414421.24</v>
      </c>
      <c r="N207" s="173">
        <f>G207-I207</f>
        <v>0</v>
      </c>
    </row>
    <row r="208" spans="1:52" s="137" customFormat="1" ht="31.5" x14ac:dyDescent="0.2">
      <c r="A208" s="290"/>
      <c r="B208" s="296"/>
      <c r="C208" s="294"/>
      <c r="D208" s="303"/>
      <c r="E208" s="280" t="s">
        <v>376</v>
      </c>
      <c r="F208" s="268">
        <v>2021</v>
      </c>
      <c r="G208" s="277">
        <f>I208</f>
        <v>2834104</v>
      </c>
      <c r="H208" s="278">
        <v>0</v>
      </c>
      <c r="I208" s="277">
        <v>2834104</v>
      </c>
      <c r="J208" s="268"/>
      <c r="K208" s="138">
        <v>2227</v>
      </c>
      <c r="L208" s="281"/>
      <c r="M208" s="281"/>
      <c r="N208" s="173"/>
    </row>
    <row r="209" spans="1:52" s="287" customFormat="1" ht="47.25" x14ac:dyDescent="0.2">
      <c r="A209" s="271" t="s">
        <v>374</v>
      </c>
      <c r="B209" s="273">
        <v>7462</v>
      </c>
      <c r="C209" s="272" t="s">
        <v>5</v>
      </c>
      <c r="D209" s="274" t="s">
        <v>373</v>
      </c>
      <c r="E209" s="15" t="s">
        <v>375</v>
      </c>
      <c r="F209" s="279">
        <v>2021</v>
      </c>
      <c r="G209" s="85">
        <v>13697107</v>
      </c>
      <c r="H209" s="136">
        <v>0</v>
      </c>
      <c r="I209" s="85">
        <v>10000000</v>
      </c>
      <c r="J209" s="279"/>
      <c r="K209" s="58">
        <v>2226</v>
      </c>
      <c r="L209" s="105"/>
      <c r="M209" s="105">
        <f t="shared" ref="M209" si="24">I209-L209</f>
        <v>10000000</v>
      </c>
      <c r="N209" s="286"/>
    </row>
    <row r="210" spans="1:52" s="144" customFormat="1" ht="18.75" x14ac:dyDescent="0.2">
      <c r="A210" s="329"/>
      <c r="B210" s="330"/>
      <c r="C210" s="331"/>
      <c r="D210" s="282" t="s">
        <v>75</v>
      </c>
      <c r="E210" s="283"/>
      <c r="F210" s="284" t="s">
        <v>7</v>
      </c>
      <c r="G210" s="285" t="s">
        <v>7</v>
      </c>
      <c r="H210" s="285" t="s">
        <v>7</v>
      </c>
      <c r="I210" s="285">
        <f>SUM(I211:I221)</f>
        <v>21451051</v>
      </c>
      <c r="J210" s="284" t="s">
        <v>7</v>
      </c>
      <c r="K210" s="353"/>
      <c r="L210" s="354"/>
      <c r="M210" s="355"/>
      <c r="N210" s="143"/>
      <c r="O210" s="143"/>
      <c r="P210" s="143"/>
      <c r="Q210" s="143"/>
      <c r="R210" s="143"/>
      <c r="S210" s="143"/>
      <c r="T210" s="143"/>
      <c r="U210" s="143"/>
      <c r="V210" s="143"/>
      <c r="W210" s="143"/>
      <c r="X210" s="143"/>
      <c r="Y210" s="143"/>
      <c r="Z210" s="143"/>
      <c r="AA210" s="143"/>
      <c r="AB210" s="143"/>
      <c r="AC210" s="143"/>
      <c r="AD210" s="143"/>
      <c r="AE210" s="143"/>
      <c r="AF210" s="143"/>
      <c r="AG210" s="143"/>
      <c r="AH210" s="143"/>
      <c r="AI210" s="143"/>
      <c r="AJ210" s="143"/>
      <c r="AK210" s="143"/>
      <c r="AL210" s="143"/>
      <c r="AM210" s="143"/>
      <c r="AN210" s="143"/>
      <c r="AO210" s="143"/>
      <c r="AP210" s="143"/>
      <c r="AQ210" s="143"/>
      <c r="AR210" s="143"/>
      <c r="AS210" s="143"/>
      <c r="AT210" s="143"/>
      <c r="AU210" s="143"/>
      <c r="AV210" s="143"/>
      <c r="AW210" s="143"/>
      <c r="AX210" s="143"/>
      <c r="AY210" s="143"/>
      <c r="AZ210" s="143"/>
    </row>
    <row r="211" spans="1:52" s="137" customFormat="1" ht="18.75" x14ac:dyDescent="0.25">
      <c r="A211" s="316" t="s">
        <v>11</v>
      </c>
      <c r="B211" s="335">
        <v>6030</v>
      </c>
      <c r="C211" s="336" t="s">
        <v>18</v>
      </c>
      <c r="D211" s="337" t="s">
        <v>19</v>
      </c>
      <c r="E211" s="96" t="s">
        <v>89</v>
      </c>
      <c r="F211" s="261">
        <v>2021</v>
      </c>
      <c r="G211" s="85">
        <v>0</v>
      </c>
      <c r="H211" s="136">
        <v>0</v>
      </c>
      <c r="I211" s="85">
        <f>3466000+1700000+890000+224000+91640+3550000+102000+33000+75000</f>
        <v>10131640</v>
      </c>
      <c r="J211" s="261"/>
      <c r="K211" s="58">
        <v>2052</v>
      </c>
      <c r="L211" s="62">
        <f>185130+167328+11352+3257070+933730+1698000+90230+2520000+106796.8+808002</f>
        <v>9777638.8000000007</v>
      </c>
      <c r="M211" s="105">
        <f t="shared" ref="M211:M219" si="25">I211-L211</f>
        <v>354001.19999999925</v>
      </c>
      <c r="N211" s="137" t="s">
        <v>209</v>
      </c>
    </row>
    <row r="212" spans="1:52" s="137" customFormat="1" ht="31.5" x14ac:dyDescent="0.25">
      <c r="A212" s="316"/>
      <c r="B212" s="335"/>
      <c r="C212" s="336"/>
      <c r="D212" s="337"/>
      <c r="E212" s="96" t="s">
        <v>224</v>
      </c>
      <c r="F212" s="261">
        <v>2021</v>
      </c>
      <c r="G212" s="85">
        <f>I212</f>
        <v>1304658.2</v>
      </c>
      <c r="H212" s="136">
        <v>0</v>
      </c>
      <c r="I212" s="85">
        <f>15001+1449552-159894.8</f>
        <v>1304658.2</v>
      </c>
      <c r="J212" s="261"/>
      <c r="K212" s="58">
        <v>2128</v>
      </c>
      <c r="L212" s="105">
        <f>15000+1250000+19657.2</f>
        <v>1284657.2</v>
      </c>
      <c r="M212" s="105">
        <f t="shared" si="25"/>
        <v>20001</v>
      </c>
    </row>
    <row r="213" spans="1:52" s="137" customFormat="1" ht="18.75" x14ac:dyDescent="0.25">
      <c r="A213" s="316"/>
      <c r="B213" s="335"/>
      <c r="C213" s="336"/>
      <c r="D213" s="337"/>
      <c r="E213" s="6" t="s">
        <v>227</v>
      </c>
      <c r="F213" s="261">
        <v>2021</v>
      </c>
      <c r="G213" s="85">
        <f>I213</f>
        <v>1277791.8</v>
      </c>
      <c r="H213" s="136">
        <v>0</v>
      </c>
      <c r="I213" s="85">
        <f>1437340-84000-10248.2-65300</f>
        <v>1277791.8</v>
      </c>
      <c r="J213" s="261"/>
      <c r="K213" s="58">
        <v>2145</v>
      </c>
      <c r="L213" s="62">
        <f>48967+1228824.8</f>
        <v>1277791.8</v>
      </c>
      <c r="M213" s="105">
        <f t="shared" si="25"/>
        <v>0</v>
      </c>
    </row>
    <row r="214" spans="1:52" s="137" customFormat="1" ht="18.75" x14ac:dyDescent="0.25">
      <c r="A214" s="316"/>
      <c r="B214" s="335"/>
      <c r="C214" s="336"/>
      <c r="D214" s="337"/>
      <c r="E214" s="96" t="s">
        <v>228</v>
      </c>
      <c r="F214" s="261">
        <v>2021</v>
      </c>
      <c r="G214" s="85">
        <v>1486243</v>
      </c>
      <c r="H214" s="136">
        <v>0</v>
      </c>
      <c r="I214" s="85">
        <f>1371210+84000</f>
        <v>1455210</v>
      </c>
      <c r="J214" s="261"/>
      <c r="K214" s="58">
        <v>2146</v>
      </c>
      <c r="L214" s="105">
        <f>1369691.2+81463.25</f>
        <v>1451154.45</v>
      </c>
      <c r="M214" s="105">
        <f t="shared" si="25"/>
        <v>4055.5500000000466</v>
      </c>
    </row>
    <row r="215" spans="1:52" s="14" customFormat="1" ht="31.5" x14ac:dyDescent="0.25">
      <c r="A215" s="316"/>
      <c r="B215" s="335"/>
      <c r="C215" s="336"/>
      <c r="D215" s="337"/>
      <c r="E215" s="96" t="s">
        <v>265</v>
      </c>
      <c r="F215" s="261">
        <v>2021</v>
      </c>
      <c r="G215" s="31">
        <v>1566250</v>
      </c>
      <c r="H215" s="91">
        <v>0</v>
      </c>
      <c r="I215" s="31">
        <f>G215-26900-278000</f>
        <v>1261350</v>
      </c>
      <c r="J215" s="32"/>
      <c r="K215" s="57">
        <v>2161</v>
      </c>
      <c r="L215" s="62">
        <f>30405+1117148.31</f>
        <v>1147553.31</v>
      </c>
      <c r="M215" s="105">
        <f t="shared" si="25"/>
        <v>113796.68999999994</v>
      </c>
    </row>
    <row r="216" spans="1:52" s="14" customFormat="1" ht="31.5" x14ac:dyDescent="0.25">
      <c r="A216" s="316"/>
      <c r="B216" s="335"/>
      <c r="C216" s="336"/>
      <c r="D216" s="337"/>
      <c r="E216" s="96" t="s">
        <v>266</v>
      </c>
      <c r="F216" s="261">
        <v>2021</v>
      </c>
      <c r="G216" s="31">
        <v>396175</v>
      </c>
      <c r="H216" s="91">
        <v>0</v>
      </c>
      <c r="I216" s="31">
        <f t="shared" ref="I216" si="26">G216</f>
        <v>396175</v>
      </c>
      <c r="J216" s="32"/>
      <c r="K216" s="57">
        <v>2162</v>
      </c>
      <c r="L216" s="105">
        <f>339255.37+4705.43+34722</f>
        <v>378682.8</v>
      </c>
      <c r="M216" s="105">
        <f t="shared" si="25"/>
        <v>17492.200000000012</v>
      </c>
    </row>
    <row r="217" spans="1:52" s="14" customFormat="1" ht="31.5" x14ac:dyDescent="0.25">
      <c r="A217" s="316"/>
      <c r="B217" s="335"/>
      <c r="C217" s="336"/>
      <c r="D217" s="337"/>
      <c r="E217" s="96" t="s">
        <v>267</v>
      </c>
      <c r="F217" s="261">
        <v>2021</v>
      </c>
      <c r="G217" s="31">
        <v>929194</v>
      </c>
      <c r="H217" s="91">
        <v>0</v>
      </c>
      <c r="I217" s="31">
        <f>G217-9800</f>
        <v>919394</v>
      </c>
      <c r="J217" s="32"/>
      <c r="K217" s="57">
        <v>2163</v>
      </c>
      <c r="L217" s="62">
        <f>23887+890491.21</f>
        <v>914378.21</v>
      </c>
      <c r="M217" s="105">
        <f t="shared" si="25"/>
        <v>5015.7900000000373</v>
      </c>
    </row>
    <row r="218" spans="1:52" s="14" customFormat="1" ht="31.5" x14ac:dyDescent="0.25">
      <c r="A218" s="316"/>
      <c r="B218" s="335"/>
      <c r="C218" s="336"/>
      <c r="D218" s="337"/>
      <c r="E218" s="96" t="s">
        <v>268</v>
      </c>
      <c r="F218" s="261">
        <v>2021</v>
      </c>
      <c r="G218" s="31">
        <f>768040+170143</f>
        <v>938183</v>
      </c>
      <c r="H218" s="91">
        <v>0</v>
      </c>
      <c r="I218" s="31">
        <f>G218</f>
        <v>938183</v>
      </c>
      <c r="J218" s="32"/>
      <c r="K218" s="57">
        <v>2164</v>
      </c>
      <c r="L218" s="62">
        <f>47496+879446</f>
        <v>926942</v>
      </c>
      <c r="M218" s="105">
        <f t="shared" si="25"/>
        <v>11241</v>
      </c>
    </row>
    <row r="219" spans="1:52" s="14" customFormat="1" ht="18.75" x14ac:dyDescent="0.25">
      <c r="A219" s="316"/>
      <c r="B219" s="335"/>
      <c r="C219" s="336"/>
      <c r="D219" s="337"/>
      <c r="E219" s="102" t="s">
        <v>327</v>
      </c>
      <c r="F219" s="261">
        <v>2021</v>
      </c>
      <c r="G219" s="31">
        <f>I219</f>
        <v>266649</v>
      </c>
      <c r="H219" s="91">
        <v>0</v>
      </c>
      <c r="I219" s="31">
        <v>266649</v>
      </c>
      <c r="J219" s="122"/>
      <c r="K219" s="57">
        <v>2199</v>
      </c>
      <c r="L219" s="62">
        <f>247011.51+3651.6</f>
        <v>250663.11000000002</v>
      </c>
      <c r="M219" s="105">
        <f t="shared" si="25"/>
        <v>15985.889999999985</v>
      </c>
    </row>
    <row r="220" spans="1:52" s="121" customFormat="1" ht="18.75" customHeight="1" x14ac:dyDescent="0.2">
      <c r="A220" s="120"/>
      <c r="B220" s="120"/>
      <c r="C220" s="120"/>
      <c r="D220" s="334" t="s">
        <v>140</v>
      </c>
      <c r="E220" s="312"/>
      <c r="F220" s="312"/>
      <c r="G220" s="312"/>
      <c r="H220" s="312"/>
      <c r="I220" s="312"/>
      <c r="J220" s="313"/>
      <c r="K220" s="120"/>
      <c r="L220" s="120"/>
      <c r="M220" s="120"/>
      <c r="N220" s="120"/>
      <c r="O220" s="120"/>
      <c r="P220" s="120"/>
      <c r="Q220" s="120"/>
      <c r="R220" s="120"/>
      <c r="S220" s="120"/>
      <c r="T220" s="120"/>
      <c r="U220" s="120"/>
      <c r="V220" s="120"/>
      <c r="W220" s="120"/>
      <c r="X220" s="120"/>
      <c r="Y220" s="120"/>
      <c r="Z220" s="120"/>
      <c r="AA220" s="120"/>
      <c r="AB220" s="120"/>
      <c r="AC220" s="120"/>
      <c r="AD220" s="120"/>
      <c r="AE220" s="120"/>
      <c r="AF220" s="120"/>
      <c r="AG220" s="120"/>
      <c r="AH220" s="120"/>
      <c r="AI220" s="120"/>
      <c r="AJ220" s="120"/>
      <c r="AK220" s="120"/>
      <c r="AL220" s="120"/>
      <c r="AM220" s="120"/>
      <c r="AN220" s="120"/>
      <c r="AO220" s="120"/>
      <c r="AP220" s="120"/>
      <c r="AQ220" s="120"/>
      <c r="AR220" s="120"/>
      <c r="AS220" s="120"/>
      <c r="AT220" s="120"/>
      <c r="AU220" s="120"/>
      <c r="AV220" s="120"/>
      <c r="AW220" s="120"/>
      <c r="AX220" s="120"/>
      <c r="AY220" s="120"/>
      <c r="AZ220" s="120"/>
    </row>
    <row r="221" spans="1:52" s="137" customFormat="1" ht="47.25" x14ac:dyDescent="0.2">
      <c r="A221" s="126" t="s">
        <v>54</v>
      </c>
      <c r="B221" s="178" t="s">
        <v>290</v>
      </c>
      <c r="C221" s="180" t="s">
        <v>5</v>
      </c>
      <c r="D221" s="181" t="s">
        <v>55</v>
      </c>
      <c r="E221" s="15" t="s">
        <v>263</v>
      </c>
      <c r="F221" s="30">
        <v>2021</v>
      </c>
      <c r="G221" s="85">
        <v>8953609</v>
      </c>
      <c r="H221" s="136">
        <v>0</v>
      </c>
      <c r="I221" s="85">
        <v>3500000</v>
      </c>
      <c r="J221" s="30"/>
      <c r="K221" s="58">
        <v>2024</v>
      </c>
      <c r="L221" s="62">
        <f>2051625.29+1448374.71</f>
        <v>3500000</v>
      </c>
      <c r="M221" s="105">
        <f>I221-L221</f>
        <v>0</v>
      </c>
    </row>
    <row r="222" spans="1:52" s="5" customFormat="1" ht="18.75" x14ac:dyDescent="0.2">
      <c r="A222" s="326"/>
      <c r="B222" s="327"/>
      <c r="C222" s="328"/>
      <c r="D222" s="39" t="s">
        <v>114</v>
      </c>
      <c r="E222" s="40"/>
      <c r="F222" s="43" t="s">
        <v>7</v>
      </c>
      <c r="G222" s="82" t="s">
        <v>7</v>
      </c>
      <c r="H222" s="82" t="s">
        <v>7</v>
      </c>
      <c r="I222" s="82">
        <f>I223</f>
        <v>146700</v>
      </c>
      <c r="J222" s="88" t="s">
        <v>7</v>
      </c>
      <c r="K222" s="117"/>
      <c r="L222" s="118"/>
      <c r="M222" s="119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  <c r="AD222" s="1"/>
      <c r="AE222" s="1"/>
      <c r="AF222" s="1"/>
      <c r="AG222" s="1"/>
      <c r="AH222" s="1"/>
      <c r="AI222" s="1"/>
      <c r="AJ222" s="1"/>
      <c r="AK222" s="1"/>
      <c r="AL222" s="1"/>
      <c r="AM222" s="1"/>
      <c r="AN222" s="1"/>
      <c r="AO222" s="1"/>
      <c r="AP222" s="1"/>
      <c r="AQ222" s="1"/>
      <c r="AR222" s="1"/>
      <c r="AS222" s="1"/>
      <c r="AT222" s="1"/>
      <c r="AU222" s="1"/>
      <c r="AV222" s="1"/>
      <c r="AW222" s="1"/>
      <c r="AX222" s="1"/>
      <c r="AY222" s="1"/>
      <c r="AZ222" s="1"/>
    </row>
    <row r="223" spans="1:52" s="14" customFormat="1" ht="18.75" x14ac:dyDescent="0.25">
      <c r="A223" s="7" t="s">
        <v>113</v>
      </c>
      <c r="B223" s="59" t="s">
        <v>22</v>
      </c>
      <c r="C223" s="60" t="s">
        <v>116</v>
      </c>
      <c r="D223" s="61" t="s">
        <v>115</v>
      </c>
      <c r="E223" s="33" t="s">
        <v>89</v>
      </c>
      <c r="F223" s="30">
        <v>2021</v>
      </c>
      <c r="G223" s="31">
        <v>0</v>
      </c>
      <c r="H223" s="91">
        <v>0</v>
      </c>
      <c r="I223" s="31">
        <v>146700</v>
      </c>
      <c r="J223" s="32"/>
      <c r="K223" s="57">
        <v>2094</v>
      </c>
      <c r="L223" s="62">
        <f>129260+7197+8325</f>
        <v>144782</v>
      </c>
      <c r="M223" s="56">
        <f>I223-L223</f>
        <v>1918</v>
      </c>
      <c r="N223" s="14" t="s">
        <v>321</v>
      </c>
    </row>
    <row r="224" spans="1:52" s="5" customFormat="1" ht="18.75" x14ac:dyDescent="0.25">
      <c r="A224" s="79" t="s">
        <v>171</v>
      </c>
      <c r="B224" s="45"/>
      <c r="C224" s="34"/>
      <c r="D224" s="35" t="s">
        <v>71</v>
      </c>
      <c r="E224" s="36"/>
      <c r="F224" s="43" t="s">
        <v>7</v>
      </c>
      <c r="G224" s="82" t="s">
        <v>7</v>
      </c>
      <c r="H224" s="82" t="s">
        <v>7</v>
      </c>
      <c r="I224" s="82">
        <f>SUM(I225:I251)+I253+I255+I257+I259+I260+I261+I262+I263+I264+I266+I265+I254+I256+I258</f>
        <v>73049975.24000001</v>
      </c>
      <c r="J224" s="88" t="s">
        <v>7</v>
      </c>
      <c r="K224" s="111"/>
      <c r="L224" s="112"/>
      <c r="M224" s="113"/>
    </row>
    <row r="225" spans="1:52" s="14" customFormat="1" ht="31.5" x14ac:dyDescent="0.25">
      <c r="A225" s="126" t="s">
        <v>273</v>
      </c>
      <c r="B225" s="127">
        <v>1021</v>
      </c>
      <c r="C225" s="126" t="s">
        <v>282</v>
      </c>
      <c r="D225" s="125" t="s">
        <v>274</v>
      </c>
      <c r="E225" s="96" t="s">
        <v>89</v>
      </c>
      <c r="F225" s="30">
        <v>2021</v>
      </c>
      <c r="G225" s="31">
        <v>0</v>
      </c>
      <c r="H225" s="91">
        <v>0</v>
      </c>
      <c r="I225" s="31">
        <v>151397</v>
      </c>
      <c r="J225" s="32"/>
      <c r="K225" s="57">
        <v>2160</v>
      </c>
      <c r="L225" s="106">
        <v>150900</v>
      </c>
      <c r="M225" s="56">
        <f t="shared" ref="M225:M251" si="27">I225-L225</f>
        <v>497</v>
      </c>
    </row>
    <row r="226" spans="1:52" s="14" customFormat="1" ht="37.5" customHeight="1" x14ac:dyDescent="0.25">
      <c r="A226" s="316" t="s">
        <v>23</v>
      </c>
      <c r="B226" s="317">
        <v>7321</v>
      </c>
      <c r="C226" s="316" t="s">
        <v>24</v>
      </c>
      <c r="D226" s="317" t="s">
        <v>46</v>
      </c>
      <c r="E226" s="96" t="s">
        <v>193</v>
      </c>
      <c r="F226" s="30">
        <v>2021</v>
      </c>
      <c r="G226" s="31">
        <f>I226</f>
        <v>329527</v>
      </c>
      <c r="H226" s="91">
        <v>0</v>
      </c>
      <c r="I226" s="31">
        <f>49900+279627</f>
        <v>329527</v>
      </c>
      <c r="J226" s="122"/>
      <c r="K226" s="57">
        <v>2028</v>
      </c>
      <c r="L226" s="106">
        <v>329527</v>
      </c>
      <c r="M226" s="56">
        <f t="shared" si="27"/>
        <v>0</v>
      </c>
      <c r="N226" s="6"/>
      <c r="O226" s="6"/>
      <c r="P226" s="6"/>
      <c r="Q226" s="6"/>
      <c r="R226" s="6"/>
      <c r="S226" s="6"/>
      <c r="T226" s="6"/>
      <c r="U226" s="6"/>
      <c r="V226" s="6"/>
      <c r="W226" s="6"/>
      <c r="X226" s="6"/>
      <c r="Y226" s="6"/>
      <c r="Z226" s="6"/>
      <c r="AA226" s="6"/>
      <c r="AB226" s="6"/>
      <c r="AC226" s="6"/>
      <c r="AD226" s="6"/>
      <c r="AE226" s="6"/>
      <c r="AF226" s="6"/>
      <c r="AG226" s="6"/>
      <c r="AH226" s="6"/>
      <c r="AI226" s="6"/>
      <c r="AJ226" s="6"/>
      <c r="AK226" s="6"/>
      <c r="AL226" s="6"/>
      <c r="AM226" s="6"/>
      <c r="AN226" s="6"/>
      <c r="AO226" s="6"/>
      <c r="AP226" s="6"/>
      <c r="AQ226" s="6"/>
      <c r="AR226" s="6"/>
      <c r="AS226" s="6"/>
      <c r="AT226" s="6"/>
      <c r="AU226" s="6"/>
      <c r="AV226" s="6"/>
      <c r="AW226" s="6"/>
      <c r="AX226" s="6"/>
      <c r="AY226" s="6"/>
      <c r="AZ226" s="6"/>
    </row>
    <row r="227" spans="1:52" s="14" customFormat="1" ht="63.75" customHeight="1" x14ac:dyDescent="0.25">
      <c r="A227" s="316"/>
      <c r="B227" s="317"/>
      <c r="C227" s="316"/>
      <c r="D227" s="317"/>
      <c r="E227" s="96" t="s">
        <v>229</v>
      </c>
      <c r="F227" s="30">
        <v>2021</v>
      </c>
      <c r="G227" s="31">
        <f t="shared" ref="G227:G234" si="28">I227</f>
        <v>49500</v>
      </c>
      <c r="H227" s="91">
        <v>0</v>
      </c>
      <c r="I227" s="31">
        <v>49500</v>
      </c>
      <c r="J227" s="122"/>
      <c r="K227" s="57">
        <v>2095</v>
      </c>
      <c r="L227" s="106">
        <v>49500</v>
      </c>
      <c r="M227" s="56">
        <f t="shared" si="27"/>
        <v>0</v>
      </c>
      <c r="N227" s="6"/>
      <c r="O227" s="6"/>
      <c r="P227" s="6"/>
      <c r="Q227" s="6"/>
      <c r="R227" s="6"/>
      <c r="S227" s="6"/>
      <c r="T227" s="6"/>
      <c r="U227" s="6"/>
      <c r="V227" s="6"/>
      <c r="W227" s="6"/>
      <c r="X227" s="6"/>
      <c r="Y227" s="6"/>
      <c r="Z227" s="6"/>
      <c r="AA227" s="6"/>
      <c r="AB227" s="6"/>
      <c r="AC227" s="6"/>
      <c r="AD227" s="6"/>
      <c r="AE227" s="6"/>
      <c r="AF227" s="6"/>
      <c r="AG227" s="6"/>
      <c r="AH227" s="6"/>
      <c r="AI227" s="6"/>
      <c r="AJ227" s="6"/>
      <c r="AK227" s="6"/>
      <c r="AL227" s="6"/>
      <c r="AM227" s="6"/>
      <c r="AN227" s="6"/>
      <c r="AO227" s="6"/>
      <c r="AP227" s="6"/>
      <c r="AQ227" s="6"/>
      <c r="AR227" s="6"/>
      <c r="AS227" s="6"/>
      <c r="AT227" s="6"/>
      <c r="AU227" s="6"/>
      <c r="AV227" s="6"/>
      <c r="AW227" s="6"/>
      <c r="AX227" s="6"/>
      <c r="AY227" s="6"/>
      <c r="AZ227" s="6"/>
    </row>
    <row r="228" spans="1:52" s="137" customFormat="1" ht="75" customHeight="1" x14ac:dyDescent="0.25">
      <c r="A228" s="316"/>
      <c r="B228" s="317"/>
      <c r="C228" s="316"/>
      <c r="D228" s="317"/>
      <c r="E228" s="96" t="s">
        <v>249</v>
      </c>
      <c r="F228" s="30">
        <v>2021</v>
      </c>
      <c r="G228" s="85">
        <v>9513572</v>
      </c>
      <c r="H228" s="136">
        <v>0</v>
      </c>
      <c r="I228" s="85">
        <v>4541047</v>
      </c>
      <c r="J228" s="139"/>
      <c r="K228" s="58">
        <v>2151</v>
      </c>
      <c r="L228" s="63">
        <f>599030.76+911757.12+185712.62+997799.39</f>
        <v>2694299.89</v>
      </c>
      <c r="M228" s="105">
        <f t="shared" si="27"/>
        <v>1846747.1099999999</v>
      </c>
      <c r="N228" s="6"/>
      <c r="O228" s="6"/>
      <c r="P228" s="6"/>
      <c r="Q228" s="6"/>
      <c r="R228" s="6"/>
      <c r="S228" s="6"/>
      <c r="T228" s="6"/>
      <c r="U228" s="6"/>
      <c r="V228" s="6"/>
      <c r="W228" s="6"/>
      <c r="X228" s="6"/>
      <c r="Y228" s="6"/>
      <c r="Z228" s="6"/>
      <c r="AA228" s="6"/>
      <c r="AB228" s="6"/>
      <c r="AC228" s="6"/>
      <c r="AD228" s="6"/>
      <c r="AE228" s="6"/>
      <c r="AF228" s="6"/>
      <c r="AG228" s="6"/>
      <c r="AH228" s="6"/>
      <c r="AI228" s="6"/>
      <c r="AJ228" s="6"/>
      <c r="AK228" s="6"/>
      <c r="AL228" s="6"/>
      <c r="AM228" s="6"/>
      <c r="AN228" s="6"/>
      <c r="AO228" s="6"/>
      <c r="AP228" s="6"/>
      <c r="AQ228" s="6"/>
      <c r="AR228" s="6"/>
      <c r="AS228" s="6"/>
      <c r="AT228" s="6"/>
      <c r="AU228" s="6"/>
      <c r="AV228" s="6"/>
      <c r="AW228" s="6"/>
      <c r="AX228" s="6"/>
      <c r="AY228" s="6"/>
      <c r="AZ228" s="6"/>
    </row>
    <row r="229" spans="1:52" s="71" customFormat="1" ht="47.25" x14ac:dyDescent="0.25">
      <c r="A229" s="316"/>
      <c r="B229" s="317"/>
      <c r="C229" s="316"/>
      <c r="D229" s="317"/>
      <c r="E229" s="96" t="s">
        <v>156</v>
      </c>
      <c r="F229" s="30">
        <v>2021</v>
      </c>
      <c r="G229" s="31">
        <f t="shared" si="28"/>
        <v>48500</v>
      </c>
      <c r="H229" s="91">
        <v>0</v>
      </c>
      <c r="I229" s="31">
        <v>48500</v>
      </c>
      <c r="J229" s="122"/>
      <c r="K229" s="98">
        <v>2107</v>
      </c>
      <c r="L229" s="108">
        <v>48500</v>
      </c>
      <c r="M229" s="99">
        <f t="shared" si="27"/>
        <v>0</v>
      </c>
      <c r="N229" s="72"/>
      <c r="O229" s="72"/>
      <c r="P229" s="72"/>
      <c r="Q229" s="72"/>
      <c r="R229" s="72"/>
      <c r="S229" s="72"/>
      <c r="T229" s="72"/>
      <c r="U229" s="72"/>
      <c r="V229" s="72"/>
      <c r="W229" s="72"/>
      <c r="X229" s="72"/>
      <c r="Y229" s="72"/>
      <c r="Z229" s="72"/>
      <c r="AA229" s="72"/>
      <c r="AB229" s="72"/>
      <c r="AC229" s="72"/>
      <c r="AD229" s="72"/>
      <c r="AE229" s="72"/>
      <c r="AF229" s="72"/>
      <c r="AG229" s="72"/>
      <c r="AH229" s="72"/>
      <c r="AI229" s="72"/>
      <c r="AJ229" s="72"/>
      <c r="AK229" s="72"/>
      <c r="AL229" s="72"/>
      <c r="AM229" s="72"/>
      <c r="AN229" s="72"/>
      <c r="AO229" s="72"/>
      <c r="AP229" s="72"/>
      <c r="AQ229" s="72"/>
      <c r="AR229" s="72"/>
      <c r="AS229" s="72"/>
      <c r="AT229" s="72"/>
      <c r="AU229" s="72"/>
      <c r="AV229" s="72"/>
      <c r="AW229" s="72"/>
      <c r="AX229" s="72"/>
      <c r="AY229" s="72"/>
      <c r="AZ229" s="72"/>
    </row>
    <row r="230" spans="1:52" s="14" customFormat="1" ht="39.75" customHeight="1" x14ac:dyDescent="0.25">
      <c r="A230" s="316"/>
      <c r="B230" s="317"/>
      <c r="C230" s="316"/>
      <c r="D230" s="317"/>
      <c r="E230" s="96" t="s">
        <v>286</v>
      </c>
      <c r="F230" s="30" t="s">
        <v>179</v>
      </c>
      <c r="G230" s="31">
        <v>67620674</v>
      </c>
      <c r="H230" s="91">
        <v>0</v>
      </c>
      <c r="I230" s="31">
        <v>172720</v>
      </c>
      <c r="J230" s="122"/>
      <c r="K230" s="57">
        <v>2003</v>
      </c>
      <c r="L230" s="106">
        <v>172719.18</v>
      </c>
      <c r="M230" s="56">
        <f t="shared" si="27"/>
        <v>0.82000000000698492</v>
      </c>
      <c r="N230" s="6"/>
      <c r="O230" s="6"/>
      <c r="P230" s="6"/>
      <c r="Q230" s="6"/>
      <c r="R230" s="6"/>
      <c r="S230" s="6"/>
      <c r="T230" s="6"/>
      <c r="U230" s="6"/>
      <c r="V230" s="6"/>
      <c r="W230" s="6"/>
      <c r="X230" s="6"/>
      <c r="Y230" s="6"/>
      <c r="Z230" s="6"/>
      <c r="AA230" s="6"/>
      <c r="AB230" s="6"/>
      <c r="AC230" s="6"/>
      <c r="AD230" s="6"/>
      <c r="AE230" s="6"/>
      <c r="AF230" s="6"/>
      <c r="AG230" s="6"/>
      <c r="AH230" s="6"/>
      <c r="AI230" s="6"/>
      <c r="AJ230" s="6"/>
      <c r="AK230" s="6"/>
      <c r="AL230" s="6"/>
      <c r="AM230" s="6"/>
      <c r="AN230" s="6"/>
      <c r="AO230" s="6"/>
      <c r="AP230" s="6"/>
      <c r="AQ230" s="6"/>
      <c r="AR230" s="6"/>
      <c r="AS230" s="6"/>
      <c r="AT230" s="6"/>
      <c r="AU230" s="6"/>
      <c r="AV230" s="6"/>
      <c r="AW230" s="6"/>
      <c r="AX230" s="6"/>
      <c r="AY230" s="6"/>
      <c r="AZ230" s="6"/>
    </row>
    <row r="231" spans="1:52" s="71" customFormat="1" ht="47.25" x14ac:dyDescent="0.25">
      <c r="A231" s="316"/>
      <c r="B231" s="317"/>
      <c r="C231" s="316"/>
      <c r="D231" s="317"/>
      <c r="E231" s="96" t="s">
        <v>285</v>
      </c>
      <c r="F231" s="30">
        <v>2021</v>
      </c>
      <c r="G231" s="31">
        <f t="shared" si="28"/>
        <v>49500</v>
      </c>
      <c r="H231" s="91">
        <v>0</v>
      </c>
      <c r="I231" s="31">
        <v>49500</v>
      </c>
      <c r="J231" s="122"/>
      <c r="K231" s="98">
        <v>2112</v>
      </c>
      <c r="L231" s="108">
        <v>49500</v>
      </c>
      <c r="M231" s="99">
        <f t="shared" si="27"/>
        <v>0</v>
      </c>
      <c r="N231" s="72"/>
      <c r="O231" s="72"/>
      <c r="P231" s="72"/>
      <c r="Q231" s="72"/>
      <c r="R231" s="72"/>
      <c r="S231" s="72"/>
      <c r="T231" s="72"/>
      <c r="U231" s="72"/>
      <c r="V231" s="72"/>
      <c r="W231" s="72"/>
      <c r="X231" s="72"/>
      <c r="Y231" s="72"/>
      <c r="Z231" s="72"/>
      <c r="AA231" s="72"/>
      <c r="AB231" s="72"/>
      <c r="AC231" s="72"/>
      <c r="AD231" s="72"/>
      <c r="AE231" s="72"/>
      <c r="AF231" s="72"/>
      <c r="AG231" s="72"/>
      <c r="AH231" s="72"/>
      <c r="AI231" s="72"/>
      <c r="AJ231" s="72"/>
      <c r="AK231" s="72"/>
      <c r="AL231" s="72"/>
      <c r="AM231" s="72"/>
      <c r="AN231" s="72"/>
      <c r="AO231" s="72"/>
      <c r="AP231" s="72"/>
      <c r="AQ231" s="72"/>
      <c r="AR231" s="72"/>
      <c r="AS231" s="72"/>
      <c r="AT231" s="72"/>
      <c r="AU231" s="72"/>
      <c r="AV231" s="72"/>
      <c r="AW231" s="72"/>
      <c r="AX231" s="72"/>
      <c r="AY231" s="72"/>
      <c r="AZ231" s="72"/>
    </row>
    <row r="232" spans="1:52" s="137" customFormat="1" ht="52.5" customHeight="1" x14ac:dyDescent="0.25">
      <c r="A232" s="316"/>
      <c r="B232" s="317"/>
      <c r="C232" s="316"/>
      <c r="D232" s="317"/>
      <c r="E232" s="96" t="s">
        <v>248</v>
      </c>
      <c r="F232" s="192">
        <v>2021</v>
      </c>
      <c r="G232" s="85">
        <v>13801319</v>
      </c>
      <c r="H232" s="136">
        <v>0</v>
      </c>
      <c r="I232" s="85">
        <v>1645427</v>
      </c>
      <c r="J232" s="139"/>
      <c r="K232" s="58">
        <v>2150</v>
      </c>
      <c r="L232" s="63">
        <f>23369.62+1621190.2+867.18</f>
        <v>1645427</v>
      </c>
      <c r="M232" s="105">
        <f t="shared" si="27"/>
        <v>0</v>
      </c>
      <c r="N232" s="6"/>
      <c r="O232" s="6"/>
      <c r="P232" s="6"/>
      <c r="Q232" s="6"/>
      <c r="R232" s="6"/>
      <c r="S232" s="6"/>
      <c r="T232" s="6"/>
      <c r="U232" s="6"/>
      <c r="V232" s="6"/>
      <c r="W232" s="6"/>
      <c r="X232" s="6"/>
      <c r="Y232" s="6"/>
      <c r="Z232" s="6"/>
      <c r="AA232" s="6"/>
      <c r="AB232" s="6"/>
      <c r="AC232" s="6"/>
      <c r="AD232" s="6"/>
      <c r="AE232" s="6"/>
      <c r="AF232" s="6"/>
      <c r="AG232" s="6"/>
      <c r="AH232" s="6"/>
      <c r="AI232" s="6"/>
      <c r="AJ232" s="6"/>
      <c r="AK232" s="6"/>
      <c r="AL232" s="6"/>
      <c r="AM232" s="6"/>
      <c r="AN232" s="6"/>
      <c r="AO232" s="6"/>
      <c r="AP232" s="6"/>
      <c r="AQ232" s="6"/>
      <c r="AR232" s="6"/>
      <c r="AS232" s="6"/>
      <c r="AT232" s="6"/>
      <c r="AU232" s="6"/>
      <c r="AV232" s="6"/>
      <c r="AW232" s="6"/>
      <c r="AX232" s="6"/>
      <c r="AY232" s="6"/>
      <c r="AZ232" s="6"/>
    </row>
    <row r="233" spans="1:52" s="14" customFormat="1" ht="42.75" customHeight="1" x14ac:dyDescent="0.25">
      <c r="A233" s="316"/>
      <c r="B233" s="317"/>
      <c r="C233" s="316"/>
      <c r="D233" s="317"/>
      <c r="E233" s="96" t="s">
        <v>284</v>
      </c>
      <c r="F233" s="30">
        <v>2021</v>
      </c>
      <c r="G233" s="31">
        <v>80066712</v>
      </c>
      <c r="H233" s="91">
        <v>0</v>
      </c>
      <c r="I233" s="31">
        <v>14711356</v>
      </c>
      <c r="J233" s="122"/>
      <c r="K233" s="57">
        <v>2148</v>
      </c>
      <c r="L233" s="106">
        <v>14711355.42</v>
      </c>
      <c r="M233" s="56">
        <f t="shared" si="27"/>
        <v>0.58000000007450581</v>
      </c>
      <c r="N233" s="6"/>
      <c r="O233" s="6"/>
      <c r="P233" s="6"/>
      <c r="Q233" s="6"/>
      <c r="R233" s="6"/>
      <c r="S233" s="6"/>
      <c r="T233" s="6"/>
      <c r="U233" s="6"/>
      <c r="V233" s="6"/>
      <c r="W233" s="6"/>
      <c r="X233" s="6"/>
      <c r="Y233" s="6"/>
      <c r="Z233" s="6"/>
      <c r="AA233" s="6"/>
      <c r="AB233" s="6"/>
      <c r="AC233" s="6"/>
      <c r="AD233" s="6"/>
      <c r="AE233" s="6"/>
      <c r="AF233" s="6"/>
      <c r="AG233" s="6"/>
      <c r="AH233" s="6"/>
      <c r="AI233" s="6"/>
      <c r="AJ233" s="6"/>
      <c r="AK233" s="6"/>
      <c r="AL233" s="6"/>
      <c r="AM233" s="6"/>
      <c r="AN233" s="6"/>
      <c r="AO233" s="6"/>
      <c r="AP233" s="6"/>
      <c r="AQ233" s="6"/>
      <c r="AR233" s="6"/>
      <c r="AS233" s="6"/>
      <c r="AT233" s="6"/>
      <c r="AU233" s="6"/>
      <c r="AV233" s="6"/>
      <c r="AW233" s="6"/>
      <c r="AX233" s="6"/>
      <c r="AY233" s="6"/>
      <c r="AZ233" s="6"/>
    </row>
    <row r="234" spans="1:52" s="71" customFormat="1" ht="57.75" customHeight="1" x14ac:dyDescent="0.25">
      <c r="A234" s="316"/>
      <c r="B234" s="317"/>
      <c r="C234" s="316"/>
      <c r="D234" s="317"/>
      <c r="E234" s="96" t="s">
        <v>155</v>
      </c>
      <c r="F234" s="30">
        <v>2021</v>
      </c>
      <c r="G234" s="31">
        <f t="shared" si="28"/>
        <v>889000</v>
      </c>
      <c r="H234" s="91">
        <v>0</v>
      </c>
      <c r="I234" s="31">
        <v>889000</v>
      </c>
      <c r="J234" s="122"/>
      <c r="K234" s="98">
        <v>2113</v>
      </c>
      <c r="L234" s="108">
        <v>889000</v>
      </c>
      <c r="M234" s="99">
        <f t="shared" si="27"/>
        <v>0</v>
      </c>
      <c r="N234" s="72"/>
      <c r="O234" s="72"/>
      <c r="P234" s="72"/>
      <c r="Q234" s="72"/>
      <c r="R234" s="72"/>
      <c r="S234" s="72"/>
      <c r="T234" s="72"/>
      <c r="U234" s="72"/>
      <c r="V234" s="72"/>
      <c r="W234" s="72"/>
      <c r="X234" s="72"/>
      <c r="Y234" s="72"/>
      <c r="Z234" s="72"/>
      <c r="AA234" s="72"/>
      <c r="AB234" s="72"/>
      <c r="AC234" s="72"/>
      <c r="AD234" s="72"/>
      <c r="AE234" s="72"/>
      <c r="AF234" s="72"/>
      <c r="AG234" s="72"/>
      <c r="AH234" s="72"/>
      <c r="AI234" s="72"/>
      <c r="AJ234" s="72"/>
      <c r="AK234" s="72"/>
      <c r="AL234" s="72"/>
      <c r="AM234" s="72"/>
      <c r="AN234" s="72"/>
      <c r="AO234" s="72"/>
      <c r="AP234" s="72"/>
      <c r="AQ234" s="72"/>
      <c r="AR234" s="72"/>
      <c r="AS234" s="72"/>
      <c r="AT234" s="72"/>
      <c r="AU234" s="72"/>
      <c r="AV234" s="72"/>
      <c r="AW234" s="72"/>
      <c r="AX234" s="72"/>
      <c r="AY234" s="72"/>
      <c r="AZ234" s="72"/>
    </row>
    <row r="235" spans="1:52" s="14" customFormat="1" ht="56.25" customHeight="1" x14ac:dyDescent="0.25">
      <c r="A235" s="316"/>
      <c r="B235" s="317"/>
      <c r="C235" s="316"/>
      <c r="D235" s="317"/>
      <c r="E235" s="96" t="s">
        <v>198</v>
      </c>
      <c r="F235" s="30">
        <v>2021</v>
      </c>
      <c r="G235" s="31">
        <v>49667</v>
      </c>
      <c r="H235" s="91">
        <v>0</v>
      </c>
      <c r="I235" s="31">
        <v>49667</v>
      </c>
      <c r="J235" s="122"/>
      <c r="K235" s="57">
        <v>2117</v>
      </c>
      <c r="L235" s="106">
        <v>49666.98</v>
      </c>
      <c r="M235" s="56">
        <f t="shared" si="27"/>
        <v>1.9999999996798579E-2</v>
      </c>
      <c r="N235" s="6"/>
      <c r="O235" s="6"/>
      <c r="P235" s="6"/>
      <c r="Q235" s="6"/>
      <c r="R235" s="6"/>
      <c r="S235" s="6"/>
      <c r="T235" s="6"/>
      <c r="U235" s="6"/>
      <c r="V235" s="6"/>
      <c r="W235" s="6"/>
      <c r="X235" s="6"/>
      <c r="Y235" s="6"/>
      <c r="Z235" s="6"/>
      <c r="AA235" s="6"/>
      <c r="AB235" s="6"/>
      <c r="AC235" s="6"/>
      <c r="AD235" s="6"/>
      <c r="AE235" s="6"/>
      <c r="AF235" s="6"/>
      <c r="AG235" s="6"/>
      <c r="AH235" s="6"/>
      <c r="AI235" s="6"/>
      <c r="AJ235" s="6"/>
      <c r="AK235" s="6"/>
      <c r="AL235" s="6"/>
      <c r="AM235" s="6"/>
      <c r="AN235" s="6"/>
      <c r="AO235" s="6"/>
      <c r="AP235" s="6"/>
      <c r="AQ235" s="6"/>
      <c r="AR235" s="6"/>
      <c r="AS235" s="6"/>
      <c r="AT235" s="6"/>
      <c r="AU235" s="6"/>
      <c r="AV235" s="6"/>
      <c r="AW235" s="6"/>
      <c r="AX235" s="6"/>
      <c r="AY235" s="6"/>
      <c r="AZ235" s="6"/>
    </row>
    <row r="236" spans="1:52" s="14" customFormat="1" ht="58.5" customHeight="1" x14ac:dyDescent="0.25">
      <c r="A236" s="316"/>
      <c r="B236" s="317"/>
      <c r="C236" s="316"/>
      <c r="D236" s="317"/>
      <c r="E236" s="96" t="s">
        <v>194</v>
      </c>
      <c r="F236" s="30">
        <v>2021</v>
      </c>
      <c r="G236" s="31">
        <f t="shared" ref="G236" si="29">I236</f>
        <v>49500</v>
      </c>
      <c r="H236" s="91">
        <v>0</v>
      </c>
      <c r="I236" s="31">
        <v>49500</v>
      </c>
      <c r="J236" s="122"/>
      <c r="K236" s="57">
        <v>2096</v>
      </c>
      <c r="L236" s="106">
        <v>49500</v>
      </c>
      <c r="M236" s="56">
        <f t="shared" si="27"/>
        <v>0</v>
      </c>
      <c r="N236" s="6"/>
      <c r="O236" s="6"/>
      <c r="P236" s="6"/>
      <c r="Q236" s="6"/>
      <c r="R236" s="6"/>
      <c r="S236" s="6"/>
      <c r="T236" s="6"/>
      <c r="U236" s="6"/>
      <c r="V236" s="6"/>
      <c r="W236" s="6"/>
      <c r="X236" s="6"/>
      <c r="Y236" s="6"/>
      <c r="Z236" s="6"/>
      <c r="AA236" s="6"/>
      <c r="AB236" s="6"/>
      <c r="AC236" s="6"/>
      <c r="AD236" s="6"/>
      <c r="AE236" s="6"/>
      <c r="AF236" s="6"/>
      <c r="AG236" s="6"/>
      <c r="AH236" s="6"/>
      <c r="AI236" s="6"/>
      <c r="AJ236" s="6"/>
      <c r="AK236" s="6"/>
      <c r="AL236" s="6"/>
      <c r="AM236" s="6"/>
      <c r="AN236" s="6"/>
      <c r="AO236" s="6"/>
      <c r="AP236" s="6"/>
      <c r="AQ236" s="6"/>
      <c r="AR236" s="6"/>
      <c r="AS236" s="6"/>
      <c r="AT236" s="6"/>
      <c r="AU236" s="6"/>
      <c r="AV236" s="6"/>
      <c r="AW236" s="6"/>
      <c r="AX236" s="6"/>
      <c r="AY236" s="6"/>
      <c r="AZ236" s="6"/>
    </row>
    <row r="237" spans="1:52" s="137" customFormat="1" ht="49.5" customHeight="1" x14ac:dyDescent="0.25">
      <c r="A237" s="316"/>
      <c r="B237" s="317"/>
      <c r="C237" s="316"/>
      <c r="D237" s="317"/>
      <c r="E237" s="96" t="s">
        <v>247</v>
      </c>
      <c r="F237" s="30">
        <v>2021</v>
      </c>
      <c r="G237" s="85">
        <v>7273000</v>
      </c>
      <c r="H237" s="136">
        <v>0</v>
      </c>
      <c r="I237" s="85">
        <v>7273000</v>
      </c>
      <c r="J237" s="139"/>
      <c r="K237" s="58">
        <v>2149</v>
      </c>
      <c r="L237" s="106">
        <f>2181900+1203432.22+3887667.78</f>
        <v>7273000</v>
      </c>
      <c r="M237" s="105">
        <f t="shared" si="27"/>
        <v>0</v>
      </c>
      <c r="N237" s="6"/>
      <c r="O237" s="6"/>
      <c r="P237" s="6"/>
      <c r="Q237" s="6"/>
      <c r="R237" s="6"/>
      <c r="S237" s="6"/>
      <c r="T237" s="6"/>
      <c r="U237" s="6"/>
      <c r="V237" s="6"/>
      <c r="W237" s="6"/>
      <c r="X237" s="6"/>
      <c r="Y237" s="6"/>
      <c r="Z237" s="6"/>
      <c r="AA237" s="6"/>
      <c r="AB237" s="6"/>
      <c r="AC237" s="6"/>
      <c r="AD237" s="6"/>
      <c r="AE237" s="6"/>
      <c r="AF237" s="6"/>
      <c r="AG237" s="6"/>
      <c r="AH237" s="6"/>
      <c r="AI237" s="6"/>
      <c r="AJ237" s="6"/>
      <c r="AK237" s="6"/>
      <c r="AL237" s="6"/>
      <c r="AM237" s="6"/>
      <c r="AN237" s="6"/>
      <c r="AO237" s="6"/>
      <c r="AP237" s="6"/>
      <c r="AQ237" s="6"/>
      <c r="AR237" s="6"/>
      <c r="AS237" s="6"/>
      <c r="AT237" s="6"/>
      <c r="AU237" s="6"/>
      <c r="AV237" s="6"/>
      <c r="AW237" s="6"/>
      <c r="AX237" s="6"/>
      <c r="AY237" s="6"/>
      <c r="AZ237" s="6"/>
    </row>
    <row r="238" spans="1:52" s="14" customFormat="1" ht="61.5" customHeight="1" x14ac:dyDescent="0.25">
      <c r="A238" s="316"/>
      <c r="B238" s="317"/>
      <c r="C238" s="316"/>
      <c r="D238" s="317"/>
      <c r="E238" s="96" t="s">
        <v>277</v>
      </c>
      <c r="F238" s="30">
        <v>2021</v>
      </c>
      <c r="G238" s="31">
        <v>106540</v>
      </c>
      <c r="H238" s="91">
        <v>0</v>
      </c>
      <c r="I238" s="31">
        <f>G238</f>
        <v>106540</v>
      </c>
      <c r="J238" s="122"/>
      <c r="K238" s="57">
        <v>2177</v>
      </c>
      <c r="L238" s="63">
        <v>105539.29</v>
      </c>
      <c r="M238" s="56">
        <f t="shared" si="27"/>
        <v>1000.7100000000064</v>
      </c>
      <c r="N238" s="6"/>
      <c r="O238" s="6"/>
      <c r="P238" s="6"/>
      <c r="Q238" s="6"/>
      <c r="R238" s="6"/>
      <c r="S238" s="6"/>
      <c r="T238" s="6"/>
      <c r="U238" s="6"/>
      <c r="V238" s="6"/>
      <c r="W238" s="6"/>
      <c r="X238" s="6"/>
      <c r="Y238" s="6"/>
      <c r="Z238" s="6"/>
      <c r="AA238" s="6"/>
      <c r="AB238" s="6"/>
      <c r="AC238" s="6"/>
      <c r="AD238" s="6"/>
      <c r="AE238" s="6"/>
      <c r="AF238" s="6"/>
      <c r="AG238" s="6"/>
      <c r="AH238" s="6"/>
      <c r="AI238" s="6"/>
      <c r="AJ238" s="6"/>
      <c r="AK238" s="6"/>
      <c r="AL238" s="6"/>
      <c r="AM238" s="6"/>
      <c r="AN238" s="6"/>
      <c r="AO238" s="6"/>
      <c r="AP238" s="6"/>
      <c r="AQ238" s="6"/>
      <c r="AR238" s="6"/>
      <c r="AS238" s="6"/>
      <c r="AT238" s="6"/>
      <c r="AU238" s="6"/>
      <c r="AV238" s="6"/>
      <c r="AW238" s="6"/>
      <c r="AX238" s="6"/>
      <c r="AY238" s="6"/>
      <c r="AZ238" s="6"/>
    </row>
    <row r="239" spans="1:52" s="14" customFormat="1" ht="62.25" customHeight="1" x14ac:dyDescent="0.25">
      <c r="A239" s="316"/>
      <c r="B239" s="317"/>
      <c r="C239" s="316"/>
      <c r="D239" s="317"/>
      <c r="E239" s="96" t="s">
        <v>278</v>
      </c>
      <c r="F239" s="30">
        <v>2021</v>
      </c>
      <c r="G239" s="31">
        <v>30780</v>
      </c>
      <c r="H239" s="91">
        <v>0</v>
      </c>
      <c r="I239" s="31">
        <f>G239</f>
        <v>30780</v>
      </c>
      <c r="J239" s="122"/>
      <c r="K239" s="57">
        <v>2178</v>
      </c>
      <c r="L239" s="63">
        <v>30780</v>
      </c>
      <c r="M239" s="56">
        <f t="shared" si="27"/>
        <v>0</v>
      </c>
      <c r="N239" s="6"/>
      <c r="O239" s="6"/>
      <c r="P239" s="6"/>
      <c r="Q239" s="6"/>
      <c r="R239" s="6"/>
      <c r="S239" s="6"/>
      <c r="T239" s="6"/>
      <c r="U239" s="6"/>
      <c r="V239" s="6"/>
      <c r="W239" s="6"/>
      <c r="X239" s="6"/>
      <c r="Y239" s="6"/>
      <c r="Z239" s="6"/>
      <c r="AA239" s="6"/>
      <c r="AB239" s="6"/>
      <c r="AC239" s="6"/>
      <c r="AD239" s="6"/>
      <c r="AE239" s="6"/>
      <c r="AF239" s="6"/>
      <c r="AG239" s="6"/>
      <c r="AH239" s="6"/>
      <c r="AI239" s="6"/>
      <c r="AJ239" s="6"/>
      <c r="AK239" s="6"/>
      <c r="AL239" s="6"/>
      <c r="AM239" s="6"/>
      <c r="AN239" s="6"/>
      <c r="AO239" s="6"/>
      <c r="AP239" s="6"/>
      <c r="AQ239" s="6"/>
      <c r="AR239" s="6"/>
      <c r="AS239" s="6"/>
      <c r="AT239" s="6"/>
      <c r="AU239" s="6"/>
      <c r="AV239" s="6"/>
      <c r="AW239" s="6"/>
      <c r="AX239" s="6"/>
      <c r="AY239" s="6"/>
      <c r="AZ239" s="6"/>
    </row>
    <row r="240" spans="1:52" s="137" customFormat="1" ht="31.5" x14ac:dyDescent="0.25">
      <c r="A240" s="316"/>
      <c r="B240" s="317"/>
      <c r="C240" s="316"/>
      <c r="D240" s="317"/>
      <c r="E240" s="33" t="s">
        <v>190</v>
      </c>
      <c r="F240" s="224" t="s">
        <v>179</v>
      </c>
      <c r="G240" s="85">
        <v>158216750</v>
      </c>
      <c r="H240" s="90">
        <v>0</v>
      </c>
      <c r="I240" s="85">
        <v>224427</v>
      </c>
      <c r="J240" s="224"/>
      <c r="K240" s="58">
        <v>2017</v>
      </c>
      <c r="L240" s="62">
        <f>3166666.67+16237.69+591828.1+2989.69+1749005.46+8945.73</f>
        <v>5535673.3399999999</v>
      </c>
      <c r="M240" s="105">
        <f t="shared" si="27"/>
        <v>-5311246.34</v>
      </c>
    </row>
    <row r="241" spans="1:52" s="14" customFormat="1" ht="47.25" x14ac:dyDescent="0.25">
      <c r="A241" s="316"/>
      <c r="B241" s="317"/>
      <c r="C241" s="316"/>
      <c r="D241" s="317"/>
      <c r="E241" s="96" t="s">
        <v>206</v>
      </c>
      <c r="F241" s="30">
        <v>2021</v>
      </c>
      <c r="G241" s="31">
        <v>35801</v>
      </c>
      <c r="H241" s="91">
        <v>0</v>
      </c>
      <c r="I241" s="31">
        <v>35801</v>
      </c>
      <c r="J241" s="122"/>
      <c r="K241" s="57">
        <v>2116</v>
      </c>
      <c r="L241" s="106">
        <v>35800.75</v>
      </c>
      <c r="M241" s="56">
        <f t="shared" si="27"/>
        <v>0.25</v>
      </c>
      <c r="N241" s="6"/>
      <c r="O241" s="6"/>
      <c r="P241" s="6"/>
      <c r="Q241" s="6"/>
      <c r="R241" s="6"/>
      <c r="S241" s="6"/>
      <c r="T241" s="6"/>
      <c r="U241" s="6"/>
      <c r="V241" s="6"/>
      <c r="W241" s="6"/>
      <c r="X241" s="6"/>
      <c r="Y241" s="6"/>
      <c r="Z241" s="6"/>
      <c r="AA241" s="6"/>
      <c r="AB241" s="6"/>
      <c r="AC241" s="6"/>
      <c r="AD241" s="6"/>
      <c r="AE241" s="6"/>
      <c r="AF241" s="6"/>
      <c r="AG241" s="6"/>
      <c r="AH241" s="6"/>
      <c r="AI241" s="6"/>
      <c r="AJ241" s="6"/>
      <c r="AK241" s="6"/>
      <c r="AL241" s="6"/>
      <c r="AM241" s="6"/>
      <c r="AN241" s="6"/>
      <c r="AO241" s="6"/>
      <c r="AP241" s="6"/>
      <c r="AQ241" s="6"/>
      <c r="AR241" s="6"/>
      <c r="AS241" s="6"/>
      <c r="AT241" s="6"/>
      <c r="AU241" s="6"/>
      <c r="AV241" s="6"/>
      <c r="AW241" s="6"/>
      <c r="AX241" s="6"/>
      <c r="AY241" s="6"/>
      <c r="AZ241" s="6"/>
    </row>
    <row r="242" spans="1:52" s="137" customFormat="1" ht="40.5" customHeight="1" x14ac:dyDescent="0.25">
      <c r="A242" s="316"/>
      <c r="B242" s="317"/>
      <c r="C242" s="316"/>
      <c r="D242" s="317"/>
      <c r="E242" s="96" t="s">
        <v>257</v>
      </c>
      <c r="F242" s="30">
        <v>2021</v>
      </c>
      <c r="G242" s="85">
        <v>1218117</v>
      </c>
      <c r="H242" s="136">
        <v>0</v>
      </c>
      <c r="I242" s="85">
        <f>G242</f>
        <v>1218117</v>
      </c>
      <c r="J242" s="139"/>
      <c r="K242" s="58">
        <v>2154</v>
      </c>
      <c r="L242" s="63">
        <f>365341.55+852463.77</f>
        <v>1217805.32</v>
      </c>
      <c r="M242" s="105">
        <f t="shared" si="27"/>
        <v>311.67999999993481</v>
      </c>
      <c r="N242" s="6"/>
      <c r="O242" s="6"/>
      <c r="P242" s="6"/>
      <c r="Q242" s="6"/>
      <c r="R242" s="6"/>
      <c r="S242" s="6"/>
      <c r="T242" s="6"/>
      <c r="U242" s="6"/>
      <c r="V242" s="6"/>
      <c r="W242" s="6"/>
      <c r="X242" s="6"/>
      <c r="Y242" s="6"/>
      <c r="Z242" s="6"/>
      <c r="AA242" s="6"/>
      <c r="AB242" s="6"/>
      <c r="AC242" s="6"/>
      <c r="AD242" s="6"/>
      <c r="AE242" s="6"/>
      <c r="AF242" s="6"/>
      <c r="AG242" s="6"/>
      <c r="AH242" s="6"/>
      <c r="AI242" s="6"/>
      <c r="AJ242" s="6"/>
      <c r="AK242" s="6"/>
      <c r="AL242" s="6"/>
      <c r="AM242" s="6"/>
      <c r="AN242" s="6"/>
      <c r="AO242" s="6"/>
      <c r="AP242" s="6"/>
      <c r="AQ242" s="6"/>
      <c r="AR242" s="6"/>
      <c r="AS242" s="6"/>
      <c r="AT242" s="6"/>
      <c r="AU242" s="6"/>
      <c r="AV242" s="6"/>
      <c r="AW242" s="6"/>
      <c r="AX242" s="6"/>
      <c r="AY242" s="6"/>
      <c r="AZ242" s="6"/>
    </row>
    <row r="243" spans="1:52" s="137" customFormat="1" ht="31.5" x14ac:dyDescent="0.25">
      <c r="A243" s="316"/>
      <c r="B243" s="317"/>
      <c r="C243" s="316"/>
      <c r="D243" s="317"/>
      <c r="E243" s="96" t="s">
        <v>259</v>
      </c>
      <c r="F243" s="30">
        <v>2021</v>
      </c>
      <c r="G243" s="85">
        <f>I243</f>
        <v>299000</v>
      </c>
      <c r="H243" s="136">
        <v>0</v>
      </c>
      <c r="I243" s="85">
        <v>299000</v>
      </c>
      <c r="J243" s="139"/>
      <c r="K243" s="58">
        <v>2155</v>
      </c>
      <c r="L243" s="63">
        <f>89673.94+209239.52</f>
        <v>298913.45999999996</v>
      </c>
      <c r="M243" s="105">
        <f t="shared" si="27"/>
        <v>86.540000000037253</v>
      </c>
      <c r="N243" s="6"/>
      <c r="O243" s="6"/>
      <c r="P243" s="6"/>
      <c r="Q243" s="6"/>
      <c r="R243" s="6"/>
      <c r="S243" s="6"/>
      <c r="T243" s="6"/>
      <c r="U243" s="6"/>
      <c r="V243" s="6"/>
      <c r="W243" s="6"/>
      <c r="X243" s="6"/>
      <c r="Y243" s="6"/>
      <c r="Z243" s="6"/>
      <c r="AA243" s="6"/>
      <c r="AB243" s="6"/>
      <c r="AC243" s="6"/>
      <c r="AD243" s="6"/>
      <c r="AE243" s="6"/>
      <c r="AF243" s="6"/>
      <c r="AG243" s="6"/>
      <c r="AH243" s="6"/>
      <c r="AI243" s="6"/>
      <c r="AJ243" s="6"/>
      <c r="AK243" s="6"/>
      <c r="AL243" s="6"/>
      <c r="AM243" s="6"/>
      <c r="AN243" s="6"/>
      <c r="AO243" s="6"/>
      <c r="AP243" s="6"/>
      <c r="AQ243" s="6"/>
      <c r="AR243" s="6"/>
      <c r="AS243" s="6"/>
      <c r="AT243" s="6"/>
      <c r="AU243" s="6"/>
      <c r="AV243" s="6"/>
      <c r="AW243" s="6"/>
      <c r="AX243" s="6"/>
      <c r="AY243" s="6"/>
      <c r="AZ243" s="6"/>
    </row>
    <row r="244" spans="1:52" s="14" customFormat="1" ht="36.75" customHeight="1" x14ac:dyDescent="0.25">
      <c r="A244" s="316"/>
      <c r="B244" s="317"/>
      <c r="C244" s="316"/>
      <c r="D244" s="317"/>
      <c r="E244" s="96" t="s">
        <v>260</v>
      </c>
      <c r="F244" s="30">
        <v>2021</v>
      </c>
      <c r="G244" s="31">
        <f>I244</f>
        <v>293780</v>
      </c>
      <c r="H244" s="91">
        <v>0</v>
      </c>
      <c r="I244" s="31">
        <v>293780</v>
      </c>
      <c r="J244" s="122"/>
      <c r="K244" s="57">
        <v>2156</v>
      </c>
      <c r="L244" s="63">
        <f>88113.62+205598.99</f>
        <v>293712.61</v>
      </c>
      <c r="M244" s="56">
        <f t="shared" si="27"/>
        <v>67.39000000001397</v>
      </c>
      <c r="N244" s="6"/>
      <c r="O244" s="6"/>
      <c r="P244" s="6"/>
      <c r="Q244" s="6"/>
      <c r="R244" s="6"/>
      <c r="S244" s="6"/>
      <c r="T244" s="6"/>
      <c r="U244" s="6"/>
      <c r="V244" s="6"/>
      <c r="W244" s="6"/>
      <c r="X244" s="6"/>
      <c r="Y244" s="6"/>
      <c r="Z244" s="6"/>
      <c r="AA244" s="6"/>
      <c r="AB244" s="6"/>
      <c r="AC244" s="6"/>
      <c r="AD244" s="6"/>
      <c r="AE244" s="6"/>
      <c r="AF244" s="6"/>
      <c r="AG244" s="6"/>
      <c r="AH244" s="6"/>
      <c r="AI244" s="6"/>
      <c r="AJ244" s="6"/>
      <c r="AK244" s="6"/>
      <c r="AL244" s="6"/>
      <c r="AM244" s="6"/>
      <c r="AN244" s="6"/>
      <c r="AO244" s="6"/>
      <c r="AP244" s="6"/>
      <c r="AQ244" s="6"/>
      <c r="AR244" s="6"/>
      <c r="AS244" s="6"/>
      <c r="AT244" s="6"/>
      <c r="AU244" s="6"/>
      <c r="AV244" s="6"/>
      <c r="AW244" s="6"/>
      <c r="AX244" s="6"/>
      <c r="AY244" s="6"/>
      <c r="AZ244" s="6"/>
    </row>
    <row r="245" spans="1:52" s="71" customFormat="1" ht="32.25" customHeight="1" x14ac:dyDescent="0.25">
      <c r="A245" s="316"/>
      <c r="B245" s="317"/>
      <c r="C245" s="316"/>
      <c r="D245" s="317"/>
      <c r="E245" s="96" t="s">
        <v>283</v>
      </c>
      <c r="F245" s="30">
        <v>2021</v>
      </c>
      <c r="G245" s="31">
        <f t="shared" ref="G245" si="30">I245</f>
        <v>44500</v>
      </c>
      <c r="H245" s="91">
        <v>0</v>
      </c>
      <c r="I245" s="31">
        <v>44500</v>
      </c>
      <c r="J245" s="122"/>
      <c r="K245" s="98">
        <v>2106</v>
      </c>
      <c r="L245" s="108">
        <v>44500</v>
      </c>
      <c r="M245" s="99">
        <f t="shared" si="27"/>
        <v>0</v>
      </c>
      <c r="N245" s="72"/>
      <c r="O245" s="72"/>
      <c r="P245" s="72"/>
      <c r="Q245" s="72"/>
      <c r="R245" s="72"/>
      <c r="S245" s="72"/>
      <c r="T245" s="72"/>
      <c r="U245" s="72"/>
      <c r="V245" s="72"/>
      <c r="W245" s="72"/>
      <c r="X245" s="72"/>
      <c r="Y245" s="72"/>
      <c r="Z245" s="72"/>
      <c r="AA245" s="72"/>
      <c r="AB245" s="72"/>
      <c r="AC245" s="72"/>
      <c r="AD245" s="72"/>
      <c r="AE245" s="72"/>
      <c r="AF245" s="72"/>
      <c r="AG245" s="72"/>
      <c r="AH245" s="72"/>
      <c r="AI245" s="72"/>
      <c r="AJ245" s="72"/>
      <c r="AK245" s="72"/>
      <c r="AL245" s="72"/>
      <c r="AM245" s="72"/>
      <c r="AN245" s="72"/>
      <c r="AO245" s="72"/>
      <c r="AP245" s="72"/>
      <c r="AQ245" s="72"/>
      <c r="AR245" s="72"/>
      <c r="AS245" s="72"/>
      <c r="AT245" s="72"/>
      <c r="AU245" s="72"/>
      <c r="AV245" s="72"/>
      <c r="AW245" s="72"/>
      <c r="AX245" s="72"/>
      <c r="AY245" s="72"/>
      <c r="AZ245" s="72"/>
    </row>
    <row r="246" spans="1:52" s="14" customFormat="1" ht="36.75" customHeight="1" x14ac:dyDescent="0.25">
      <c r="A246" s="316"/>
      <c r="B246" s="317"/>
      <c r="C246" s="316"/>
      <c r="D246" s="317"/>
      <c r="E246" s="96" t="s">
        <v>261</v>
      </c>
      <c r="F246" s="30">
        <v>2021</v>
      </c>
      <c r="G246" s="31">
        <f>I246</f>
        <v>289220</v>
      </c>
      <c r="H246" s="91">
        <v>0</v>
      </c>
      <c r="I246" s="31">
        <v>289220</v>
      </c>
      <c r="J246" s="122"/>
      <c r="K246" s="57">
        <v>2157</v>
      </c>
      <c r="L246" s="63">
        <v>202251.6</v>
      </c>
      <c r="M246" s="56">
        <f t="shared" si="27"/>
        <v>86968.4</v>
      </c>
      <c r="N246" s="6"/>
      <c r="O246" s="6"/>
      <c r="P246" s="6"/>
      <c r="Q246" s="6"/>
      <c r="R246" s="6"/>
      <c r="S246" s="6"/>
      <c r="T246" s="6"/>
      <c r="U246" s="6"/>
      <c r="V246" s="6"/>
      <c r="W246" s="6"/>
      <c r="X246" s="6"/>
      <c r="Y246" s="6"/>
      <c r="Z246" s="6"/>
      <c r="AA246" s="6"/>
      <c r="AB246" s="6"/>
      <c r="AC246" s="6"/>
      <c r="AD246" s="6"/>
      <c r="AE246" s="6"/>
      <c r="AF246" s="6"/>
      <c r="AG246" s="6"/>
      <c r="AH246" s="6"/>
      <c r="AI246" s="6"/>
      <c r="AJ246" s="6"/>
      <c r="AK246" s="6"/>
      <c r="AL246" s="6"/>
      <c r="AM246" s="6"/>
      <c r="AN246" s="6"/>
      <c r="AO246" s="6"/>
      <c r="AP246" s="6"/>
      <c r="AQ246" s="6"/>
      <c r="AR246" s="6"/>
      <c r="AS246" s="6"/>
      <c r="AT246" s="6"/>
      <c r="AU246" s="6"/>
      <c r="AV246" s="6"/>
      <c r="AW246" s="6"/>
      <c r="AX246" s="6"/>
      <c r="AY246" s="6"/>
      <c r="AZ246" s="6"/>
    </row>
    <row r="247" spans="1:52" s="14" customFormat="1" ht="53.25" customHeight="1" x14ac:dyDescent="0.25">
      <c r="A247" s="316"/>
      <c r="B247" s="317"/>
      <c r="C247" s="316"/>
      <c r="D247" s="317"/>
      <c r="E247" s="96" t="s">
        <v>276</v>
      </c>
      <c r="F247" s="30">
        <v>2021</v>
      </c>
      <c r="G247" s="31">
        <v>49964</v>
      </c>
      <c r="H247" s="91">
        <v>0</v>
      </c>
      <c r="I247" s="31">
        <v>49964</v>
      </c>
      <c r="J247" s="122"/>
      <c r="K247" s="57">
        <v>2174</v>
      </c>
      <c r="L247" s="106">
        <v>49964</v>
      </c>
      <c r="M247" s="56">
        <f t="shared" si="27"/>
        <v>0</v>
      </c>
      <c r="N247" s="6"/>
      <c r="O247" s="6"/>
      <c r="P247" s="6"/>
      <c r="Q247" s="6"/>
      <c r="R247" s="6"/>
      <c r="S247" s="6"/>
      <c r="T247" s="6"/>
      <c r="U247" s="6"/>
      <c r="V247" s="6"/>
      <c r="W247" s="6"/>
      <c r="X247" s="6"/>
      <c r="Y247" s="6"/>
      <c r="Z247" s="6"/>
      <c r="AA247" s="6"/>
      <c r="AB247" s="6"/>
      <c r="AC247" s="6"/>
      <c r="AD247" s="6"/>
      <c r="AE247" s="6"/>
      <c r="AF247" s="6"/>
      <c r="AG247" s="6"/>
      <c r="AH247" s="6"/>
      <c r="AI247" s="6"/>
      <c r="AJ247" s="6"/>
      <c r="AK247" s="6"/>
      <c r="AL247" s="6"/>
      <c r="AM247" s="6"/>
      <c r="AN247" s="6"/>
      <c r="AO247" s="6"/>
      <c r="AP247" s="6"/>
      <c r="AQ247" s="6"/>
      <c r="AR247" s="6"/>
      <c r="AS247" s="6"/>
      <c r="AT247" s="6"/>
      <c r="AU247" s="6"/>
      <c r="AV247" s="6"/>
      <c r="AW247" s="6"/>
      <c r="AX247" s="6"/>
      <c r="AY247" s="6"/>
      <c r="AZ247" s="6"/>
    </row>
    <row r="248" spans="1:52" s="14" customFormat="1" ht="48.75" customHeight="1" x14ac:dyDescent="0.25">
      <c r="A248" s="316"/>
      <c r="B248" s="317"/>
      <c r="C248" s="316"/>
      <c r="D248" s="317"/>
      <c r="E248" s="96" t="s">
        <v>281</v>
      </c>
      <c r="F248" s="30">
        <v>2021</v>
      </c>
      <c r="G248" s="31">
        <v>20000</v>
      </c>
      <c r="H248" s="91">
        <v>0</v>
      </c>
      <c r="I248" s="31">
        <v>20000</v>
      </c>
      <c r="J248" s="122"/>
      <c r="K248" s="57">
        <v>2175</v>
      </c>
      <c r="L248" s="106">
        <v>20000</v>
      </c>
      <c r="M248" s="56">
        <f t="shared" si="27"/>
        <v>0</v>
      </c>
      <c r="N248" s="6"/>
      <c r="O248" s="6"/>
      <c r="P248" s="6"/>
      <c r="Q248" s="6"/>
      <c r="R248" s="6"/>
      <c r="S248" s="6"/>
      <c r="T248" s="6"/>
      <c r="U248" s="6"/>
      <c r="V248" s="6"/>
      <c r="W248" s="6"/>
      <c r="X248" s="6"/>
      <c r="Y248" s="6"/>
      <c r="Z248" s="6"/>
      <c r="AA248" s="6"/>
      <c r="AB248" s="6"/>
      <c r="AC248" s="6"/>
      <c r="AD248" s="6"/>
      <c r="AE248" s="6"/>
      <c r="AF248" s="6"/>
      <c r="AG248" s="6"/>
      <c r="AH248" s="6"/>
      <c r="AI248" s="6"/>
      <c r="AJ248" s="6"/>
      <c r="AK248" s="6"/>
      <c r="AL248" s="6"/>
      <c r="AM248" s="6"/>
      <c r="AN248" s="6"/>
      <c r="AO248" s="6"/>
      <c r="AP248" s="6"/>
      <c r="AQ248" s="6"/>
      <c r="AR248" s="6"/>
      <c r="AS248" s="6"/>
      <c r="AT248" s="6"/>
      <c r="AU248" s="6"/>
      <c r="AV248" s="6"/>
      <c r="AW248" s="6"/>
      <c r="AX248" s="6"/>
      <c r="AY248" s="6"/>
      <c r="AZ248" s="6"/>
    </row>
    <row r="249" spans="1:52" s="14" customFormat="1" ht="55.5" customHeight="1" x14ac:dyDescent="0.25">
      <c r="A249" s="316"/>
      <c r="B249" s="317"/>
      <c r="C249" s="316"/>
      <c r="D249" s="317"/>
      <c r="E249" s="96" t="s">
        <v>280</v>
      </c>
      <c r="F249" s="30">
        <v>2021</v>
      </c>
      <c r="G249" s="31">
        <v>35000</v>
      </c>
      <c r="H249" s="91">
        <v>0</v>
      </c>
      <c r="I249" s="31">
        <v>35000</v>
      </c>
      <c r="J249" s="122"/>
      <c r="K249" s="57">
        <v>2176</v>
      </c>
      <c r="L249" s="106">
        <v>35000</v>
      </c>
      <c r="M249" s="56">
        <f t="shared" si="27"/>
        <v>0</v>
      </c>
      <c r="N249" s="6"/>
      <c r="O249" s="6"/>
      <c r="P249" s="6"/>
      <c r="Q249" s="6"/>
      <c r="R249" s="6"/>
      <c r="S249" s="6"/>
      <c r="T249" s="6"/>
      <c r="U249" s="6"/>
      <c r="V249" s="6"/>
      <c r="W249" s="6"/>
      <c r="X249" s="6"/>
      <c r="Y249" s="6"/>
      <c r="Z249" s="6"/>
      <c r="AA249" s="6"/>
      <c r="AB249" s="6"/>
      <c r="AC249" s="6"/>
      <c r="AD249" s="6"/>
      <c r="AE249" s="6"/>
      <c r="AF249" s="6"/>
      <c r="AG249" s="6"/>
      <c r="AH249" s="6"/>
      <c r="AI249" s="6"/>
      <c r="AJ249" s="6"/>
      <c r="AK249" s="6"/>
      <c r="AL249" s="6"/>
      <c r="AM249" s="6"/>
      <c r="AN249" s="6"/>
      <c r="AO249" s="6"/>
      <c r="AP249" s="6"/>
      <c r="AQ249" s="6"/>
      <c r="AR249" s="6"/>
      <c r="AS249" s="6"/>
      <c r="AT249" s="6"/>
      <c r="AU249" s="6"/>
      <c r="AV249" s="6"/>
      <c r="AW249" s="6"/>
      <c r="AX249" s="6"/>
      <c r="AY249" s="6"/>
      <c r="AZ249" s="6"/>
    </row>
    <row r="250" spans="1:52" s="14" customFormat="1" ht="54" customHeight="1" x14ac:dyDescent="0.25">
      <c r="A250" s="316"/>
      <c r="B250" s="317"/>
      <c r="C250" s="316"/>
      <c r="D250" s="317"/>
      <c r="E250" s="96" t="s">
        <v>325</v>
      </c>
      <c r="F250" s="206">
        <v>2021</v>
      </c>
      <c r="G250" s="31">
        <v>48900</v>
      </c>
      <c r="H250" s="91">
        <v>0</v>
      </c>
      <c r="I250" s="31">
        <v>48900</v>
      </c>
      <c r="J250" s="32"/>
      <c r="K250" s="57">
        <v>2176</v>
      </c>
      <c r="L250" s="63">
        <v>48900</v>
      </c>
      <c r="M250" s="56">
        <f t="shared" si="27"/>
        <v>0</v>
      </c>
      <c r="N250" s="6"/>
      <c r="O250" s="6"/>
      <c r="P250" s="6"/>
      <c r="Q250" s="6"/>
      <c r="R250" s="6"/>
      <c r="S250" s="6"/>
      <c r="T250" s="6"/>
      <c r="U250" s="6"/>
      <c r="V250" s="6"/>
      <c r="W250" s="6"/>
      <c r="X250" s="6"/>
      <c r="Y250" s="6"/>
      <c r="Z250" s="6"/>
      <c r="AA250" s="6"/>
      <c r="AB250" s="6"/>
      <c r="AC250" s="6"/>
      <c r="AD250" s="6"/>
      <c r="AE250" s="6"/>
      <c r="AF250" s="6"/>
      <c r="AG250" s="6"/>
      <c r="AH250" s="6"/>
      <c r="AI250" s="6"/>
      <c r="AJ250" s="6"/>
      <c r="AK250" s="6"/>
      <c r="AL250" s="6"/>
      <c r="AM250" s="6"/>
      <c r="AN250" s="6"/>
      <c r="AO250" s="6"/>
      <c r="AP250" s="6"/>
      <c r="AQ250" s="6"/>
      <c r="AR250" s="6"/>
      <c r="AS250" s="6"/>
      <c r="AT250" s="6"/>
      <c r="AU250" s="6"/>
      <c r="AV250" s="6"/>
      <c r="AW250" s="6"/>
      <c r="AX250" s="6"/>
      <c r="AY250" s="6"/>
      <c r="AZ250" s="6"/>
    </row>
    <row r="251" spans="1:52" s="14" customFormat="1" ht="39" customHeight="1" x14ac:dyDescent="0.25">
      <c r="A251" s="316"/>
      <c r="B251" s="317"/>
      <c r="C251" s="316"/>
      <c r="D251" s="317"/>
      <c r="E251" s="102" t="s">
        <v>326</v>
      </c>
      <c r="F251" s="206">
        <v>2021</v>
      </c>
      <c r="G251" s="31">
        <v>797000</v>
      </c>
      <c r="H251" s="91">
        <v>0</v>
      </c>
      <c r="I251" s="31">
        <v>797000</v>
      </c>
      <c r="J251" s="122"/>
      <c r="K251" s="57">
        <v>2126</v>
      </c>
      <c r="L251" s="63">
        <f>237000+560000</f>
        <v>797000</v>
      </c>
      <c r="M251" s="56">
        <f t="shared" si="27"/>
        <v>0</v>
      </c>
      <c r="N251" s="6"/>
      <c r="O251" s="6"/>
      <c r="P251" s="6"/>
      <c r="Q251" s="6"/>
      <c r="R251" s="6"/>
      <c r="S251" s="6"/>
      <c r="T251" s="6"/>
      <c r="U251" s="6"/>
      <c r="V251" s="6"/>
      <c r="W251" s="6"/>
      <c r="X251" s="6"/>
      <c r="Y251" s="6"/>
      <c r="Z251" s="6"/>
      <c r="AA251" s="6"/>
      <c r="AB251" s="6"/>
      <c r="AC251" s="6"/>
      <c r="AD251" s="6"/>
      <c r="AE251" s="6"/>
      <c r="AF251" s="6"/>
      <c r="AG251" s="6"/>
      <c r="AH251" s="6"/>
      <c r="AI251" s="6"/>
      <c r="AJ251" s="6"/>
      <c r="AK251" s="6"/>
      <c r="AL251" s="6"/>
      <c r="AM251" s="6"/>
      <c r="AN251" s="6"/>
      <c r="AO251" s="6"/>
      <c r="AP251" s="6"/>
      <c r="AQ251" s="6"/>
      <c r="AR251" s="6"/>
      <c r="AS251" s="6"/>
      <c r="AT251" s="6"/>
      <c r="AU251" s="6"/>
      <c r="AV251" s="6"/>
      <c r="AW251" s="6"/>
      <c r="AX251" s="6"/>
      <c r="AY251" s="6"/>
      <c r="AZ251" s="6"/>
    </row>
    <row r="252" spans="1:52" s="14" customFormat="1" ht="18.75" customHeight="1" x14ac:dyDescent="0.25">
      <c r="A252" s="323" t="s">
        <v>140</v>
      </c>
      <c r="B252" s="324"/>
      <c r="C252" s="324"/>
      <c r="D252" s="324"/>
      <c r="E252" s="324"/>
      <c r="F252" s="324"/>
      <c r="G252" s="324"/>
      <c r="H252" s="324"/>
      <c r="I252" s="324"/>
      <c r="J252" s="325"/>
      <c r="K252" s="114"/>
      <c r="L252" s="115"/>
      <c r="M252" s="116"/>
      <c r="N252" s="6"/>
      <c r="O252" s="6"/>
      <c r="P252" s="6"/>
      <c r="Q252" s="6"/>
      <c r="R252" s="6"/>
      <c r="S252" s="6"/>
      <c r="T252" s="6"/>
      <c r="U252" s="6"/>
      <c r="V252" s="6"/>
      <c r="W252" s="6"/>
      <c r="X252" s="6"/>
      <c r="Y252" s="6"/>
      <c r="Z252" s="6"/>
      <c r="AA252" s="6"/>
      <c r="AB252" s="6"/>
      <c r="AC252" s="6"/>
      <c r="AD252" s="6"/>
      <c r="AE252" s="6"/>
      <c r="AF252" s="6"/>
      <c r="AG252" s="6"/>
      <c r="AH252" s="6"/>
      <c r="AI252" s="6"/>
      <c r="AJ252" s="6"/>
      <c r="AK252" s="6"/>
      <c r="AL252" s="6"/>
      <c r="AM252" s="6"/>
      <c r="AN252" s="6"/>
      <c r="AO252" s="6"/>
      <c r="AP252" s="6"/>
      <c r="AQ252" s="6"/>
      <c r="AR252" s="6"/>
      <c r="AS252" s="6"/>
      <c r="AT252" s="6"/>
      <c r="AU252" s="6"/>
      <c r="AV252" s="6"/>
      <c r="AW252" s="6"/>
      <c r="AX252" s="6"/>
      <c r="AY252" s="6"/>
      <c r="AZ252" s="6"/>
    </row>
    <row r="253" spans="1:52" s="14" customFormat="1" ht="48.75" customHeight="1" x14ac:dyDescent="0.25">
      <c r="A253" s="7" t="s">
        <v>53</v>
      </c>
      <c r="B253" s="37">
        <v>1200</v>
      </c>
      <c r="C253" s="7" t="s">
        <v>52</v>
      </c>
      <c r="D253" s="29" t="s">
        <v>61</v>
      </c>
      <c r="E253" s="15" t="s">
        <v>10</v>
      </c>
      <c r="F253" s="30">
        <v>2021</v>
      </c>
      <c r="G253" s="31">
        <v>0</v>
      </c>
      <c r="H253" s="91">
        <v>0</v>
      </c>
      <c r="I253" s="31">
        <v>640541</v>
      </c>
      <c r="J253" s="32"/>
      <c r="K253" s="57">
        <v>2043</v>
      </c>
      <c r="L253" s="63">
        <f>91500+94622+37600+28634.96+164643.22+49896.6+21389.08+49900+48725+53629.99</f>
        <v>640540.85</v>
      </c>
      <c r="M253" s="56">
        <f>I253-L253</f>
        <v>0.15000000002328306</v>
      </c>
      <c r="N253" s="6"/>
      <c r="O253" s="6"/>
      <c r="P253" s="6"/>
      <c r="Q253" s="6"/>
      <c r="R253" s="6"/>
      <c r="S253" s="6"/>
      <c r="T253" s="6"/>
      <c r="U253" s="6"/>
      <c r="V253" s="6"/>
      <c r="W253" s="6"/>
      <c r="X253" s="6"/>
      <c r="Y253" s="6"/>
      <c r="Z253" s="6"/>
      <c r="AA253" s="6"/>
      <c r="AB253" s="6"/>
      <c r="AC253" s="6"/>
      <c r="AD253" s="6"/>
      <c r="AE253" s="6"/>
      <c r="AF253" s="6"/>
      <c r="AG253" s="6"/>
      <c r="AH253" s="6"/>
      <c r="AI253" s="6"/>
      <c r="AJ253" s="6"/>
      <c r="AK253" s="6"/>
      <c r="AL253" s="6"/>
      <c r="AM253" s="6"/>
      <c r="AN253" s="6"/>
      <c r="AO253" s="6"/>
      <c r="AP253" s="6"/>
      <c r="AQ253" s="6"/>
      <c r="AR253" s="6"/>
      <c r="AS253" s="6"/>
      <c r="AT253" s="6"/>
      <c r="AU253" s="6"/>
      <c r="AV253" s="6"/>
      <c r="AW253" s="6"/>
      <c r="AX253" s="6"/>
      <c r="AY253" s="6"/>
      <c r="AZ253" s="6"/>
    </row>
    <row r="254" spans="1:52" s="14" customFormat="1" ht="68.25" customHeight="1" x14ac:dyDescent="0.25">
      <c r="A254" s="225" t="s">
        <v>287</v>
      </c>
      <c r="B254" s="37">
        <v>1210</v>
      </c>
      <c r="C254" s="225" t="s">
        <v>52</v>
      </c>
      <c r="D254" s="228" t="s">
        <v>288</v>
      </c>
      <c r="E254" s="15" t="s">
        <v>10</v>
      </c>
      <c r="F254" s="224">
        <v>2021</v>
      </c>
      <c r="G254" s="31">
        <v>0</v>
      </c>
      <c r="H254" s="91">
        <v>0</v>
      </c>
      <c r="I254" s="31">
        <f>143381+238301+110257+158952</f>
        <v>650891</v>
      </c>
      <c r="J254" s="32"/>
      <c r="K254" s="57">
        <v>2043</v>
      </c>
      <c r="L254" s="63">
        <f>118963+134400+94990+33329+32285.38+52361+40000+39961+104420</f>
        <v>650709.38</v>
      </c>
      <c r="M254" s="56">
        <f>I254-L254</f>
        <v>181.61999999999534</v>
      </c>
      <c r="N254" s="6" t="s">
        <v>351</v>
      </c>
      <c r="O254" s="6"/>
      <c r="P254" s="243">
        <f>I254-269209</f>
        <v>381682</v>
      </c>
      <c r="Q254" s="6" t="s">
        <v>350</v>
      </c>
      <c r="R254" s="6"/>
      <c r="S254" s="6"/>
      <c r="T254" s="6"/>
      <c r="U254" s="6"/>
      <c r="V254" s="6"/>
      <c r="W254" s="6"/>
      <c r="X254" s="6"/>
      <c r="Y254" s="6"/>
      <c r="Z254" s="6"/>
      <c r="AA254" s="6"/>
      <c r="AB254" s="6"/>
      <c r="AC254" s="6"/>
      <c r="AD254" s="6"/>
      <c r="AE254" s="6"/>
      <c r="AF254" s="6"/>
      <c r="AG254" s="6"/>
      <c r="AH254" s="6"/>
      <c r="AI254" s="6"/>
      <c r="AJ254" s="6"/>
      <c r="AK254" s="6"/>
      <c r="AL254" s="6"/>
      <c r="AM254" s="6"/>
      <c r="AN254" s="6"/>
      <c r="AO254" s="6"/>
      <c r="AP254" s="6"/>
      <c r="AQ254" s="6"/>
      <c r="AR254" s="6"/>
      <c r="AS254" s="6"/>
      <c r="AT254" s="6"/>
      <c r="AU254" s="6"/>
      <c r="AV254" s="6"/>
      <c r="AW254" s="6"/>
      <c r="AX254" s="6"/>
      <c r="AY254" s="6"/>
      <c r="AZ254" s="6"/>
    </row>
    <row r="255" spans="1:52" s="14" customFormat="1" ht="45" customHeight="1" x14ac:dyDescent="0.25">
      <c r="A255" s="293" t="s">
        <v>63</v>
      </c>
      <c r="B255" s="295">
        <v>7368</v>
      </c>
      <c r="C255" s="293" t="s">
        <v>5</v>
      </c>
      <c r="D255" s="295" t="s">
        <v>64</v>
      </c>
      <c r="E255" s="15" t="s">
        <v>161</v>
      </c>
      <c r="F255" s="30" t="s">
        <v>179</v>
      </c>
      <c r="G255" s="31">
        <v>67620674</v>
      </c>
      <c r="H255" s="91">
        <v>0.3</v>
      </c>
      <c r="I255" s="31">
        <v>22754622</v>
      </c>
      <c r="J255" s="32"/>
      <c r="K255" s="57">
        <v>2044</v>
      </c>
      <c r="L255" s="63">
        <f>2000000+3232751.68+306242.8+3136947.48+0.5+3927219.77+1467744.48+613572.43+8070142.86</f>
        <v>22754622</v>
      </c>
      <c r="M255" s="56">
        <f>I255-L255</f>
        <v>0</v>
      </c>
      <c r="N255" s="6"/>
      <c r="O255" s="6"/>
      <c r="P255" s="6"/>
      <c r="Q255" s="6"/>
      <c r="R255" s="6"/>
      <c r="S255" s="6"/>
      <c r="T255" s="6"/>
      <c r="U255" s="6"/>
      <c r="V255" s="6"/>
      <c r="W255" s="6"/>
      <c r="X255" s="6"/>
      <c r="Y255" s="6"/>
      <c r="Z255" s="6"/>
      <c r="AA255" s="6"/>
      <c r="AB255" s="6"/>
      <c r="AC255" s="6"/>
      <c r="AD255" s="6"/>
      <c r="AE255" s="6"/>
      <c r="AF255" s="6"/>
      <c r="AG255" s="6"/>
      <c r="AH255" s="6"/>
      <c r="AI255" s="6"/>
      <c r="AJ255" s="6"/>
      <c r="AK255" s="6"/>
      <c r="AL255" s="6"/>
      <c r="AM255" s="6"/>
      <c r="AN255" s="6"/>
      <c r="AO255" s="6"/>
      <c r="AP255" s="6"/>
      <c r="AQ255" s="6"/>
      <c r="AR255" s="6"/>
      <c r="AS255" s="6"/>
      <c r="AT255" s="6"/>
      <c r="AU255" s="6"/>
      <c r="AV255" s="6"/>
      <c r="AW255" s="6"/>
      <c r="AX255" s="6"/>
      <c r="AY255" s="6"/>
      <c r="AZ255" s="6"/>
    </row>
    <row r="256" spans="1:52" s="14" customFormat="1" ht="45" customHeight="1" x14ac:dyDescent="0.25">
      <c r="A256" s="294"/>
      <c r="B256" s="296"/>
      <c r="C256" s="294"/>
      <c r="D256" s="296"/>
      <c r="E256" s="15" t="s">
        <v>317</v>
      </c>
      <c r="F256" s="30">
        <v>2021</v>
      </c>
      <c r="G256" s="31">
        <v>7500000</v>
      </c>
      <c r="H256" s="91">
        <v>0</v>
      </c>
      <c r="I256" s="31">
        <v>7500000</v>
      </c>
      <c r="J256" s="32"/>
      <c r="K256" s="57">
        <v>2180</v>
      </c>
      <c r="L256" s="63">
        <f>2246383.08+1853915.81+3387644.69</f>
        <v>7487943.5800000001</v>
      </c>
      <c r="M256" s="56">
        <f>I256-L256</f>
        <v>12056.419999999925</v>
      </c>
      <c r="N256" s="6"/>
      <c r="O256" s="6"/>
      <c r="P256" s="6"/>
      <c r="Q256" s="6"/>
      <c r="R256" s="6"/>
      <c r="S256" s="6"/>
      <c r="T256" s="6"/>
      <c r="U256" s="6"/>
      <c r="V256" s="6"/>
      <c r="W256" s="6"/>
      <c r="X256" s="6"/>
      <c r="Y256" s="6"/>
      <c r="Z256" s="6"/>
      <c r="AA256" s="6"/>
      <c r="AB256" s="6"/>
      <c r="AC256" s="6"/>
      <c r="AD256" s="6"/>
      <c r="AE256" s="6"/>
      <c r="AF256" s="6"/>
      <c r="AG256" s="6"/>
      <c r="AH256" s="6"/>
      <c r="AI256" s="6"/>
      <c r="AJ256" s="6"/>
      <c r="AK256" s="6"/>
      <c r="AL256" s="6"/>
      <c r="AM256" s="6"/>
      <c r="AN256" s="6"/>
      <c r="AO256" s="6"/>
      <c r="AP256" s="6"/>
      <c r="AQ256" s="6"/>
      <c r="AR256" s="6"/>
      <c r="AS256" s="6"/>
      <c r="AT256" s="6"/>
      <c r="AU256" s="6"/>
      <c r="AV256" s="6"/>
      <c r="AW256" s="6"/>
      <c r="AX256" s="6"/>
      <c r="AY256" s="6"/>
      <c r="AZ256" s="6"/>
    </row>
    <row r="257" spans="1:52" s="137" customFormat="1" ht="47.25" customHeight="1" x14ac:dyDescent="0.2">
      <c r="A257" s="289" t="s">
        <v>212</v>
      </c>
      <c r="B257" s="291">
        <v>7363</v>
      </c>
      <c r="C257" s="293" t="s">
        <v>5</v>
      </c>
      <c r="D257" s="295" t="s">
        <v>55</v>
      </c>
      <c r="E257" s="15" t="s">
        <v>295</v>
      </c>
      <c r="F257" s="30">
        <v>2021</v>
      </c>
      <c r="G257" s="85">
        <v>3267358</v>
      </c>
      <c r="H257" s="136">
        <v>0</v>
      </c>
      <c r="I257" s="85">
        <v>1728000</v>
      </c>
      <c r="J257" s="187"/>
      <c r="K257" s="58">
        <v>2120</v>
      </c>
      <c r="L257" s="62">
        <f>870000+0.17+49580+808419.83</f>
        <v>1728000</v>
      </c>
      <c r="M257" s="105">
        <f t="shared" ref="M257:M268" si="31">I257-L257</f>
        <v>0</v>
      </c>
    </row>
    <row r="258" spans="1:52" s="137" customFormat="1" ht="31.5" x14ac:dyDescent="0.2">
      <c r="A258" s="290"/>
      <c r="B258" s="292"/>
      <c r="C258" s="294"/>
      <c r="D258" s="296"/>
      <c r="E258" s="15" t="s">
        <v>377</v>
      </c>
      <c r="F258" s="279">
        <v>2021</v>
      </c>
      <c r="G258" s="85">
        <v>3804126</v>
      </c>
      <c r="H258" s="136">
        <v>0</v>
      </c>
      <c r="I258" s="85">
        <v>2397350</v>
      </c>
      <c r="J258" s="279"/>
      <c r="K258" s="138">
        <v>2228</v>
      </c>
      <c r="L258" s="62"/>
      <c r="M258" s="105"/>
    </row>
    <row r="259" spans="1:52" s="137" customFormat="1" ht="31.5" x14ac:dyDescent="0.25">
      <c r="A259" s="289" t="s">
        <v>216</v>
      </c>
      <c r="B259" s="291">
        <v>1061</v>
      </c>
      <c r="C259" s="293" t="s">
        <v>217</v>
      </c>
      <c r="D259" s="295" t="s">
        <v>218</v>
      </c>
      <c r="E259" s="15" t="s">
        <v>215</v>
      </c>
      <c r="F259" s="30">
        <v>2021</v>
      </c>
      <c r="G259" s="85">
        <v>295000</v>
      </c>
      <c r="H259" s="136">
        <v>0</v>
      </c>
      <c r="I259" s="85">
        <v>295000</v>
      </c>
      <c r="J259" s="30"/>
      <c r="K259" s="138">
        <v>2122</v>
      </c>
      <c r="L259" s="106">
        <f>88408.84+206287.84</f>
        <v>294696.68</v>
      </c>
      <c r="M259" s="105">
        <f t="shared" si="31"/>
        <v>303.32000000000698</v>
      </c>
    </row>
    <row r="260" spans="1:52" s="137" customFormat="1" ht="31.5" x14ac:dyDescent="0.25">
      <c r="A260" s="332"/>
      <c r="B260" s="333"/>
      <c r="C260" s="297"/>
      <c r="D260" s="304"/>
      <c r="E260" s="15" t="s">
        <v>219</v>
      </c>
      <c r="F260" s="30">
        <v>2021</v>
      </c>
      <c r="G260" s="85">
        <v>250000</v>
      </c>
      <c r="H260" s="136">
        <v>0</v>
      </c>
      <c r="I260" s="85">
        <v>250000</v>
      </c>
      <c r="J260" s="30"/>
      <c r="K260" s="138">
        <v>2123</v>
      </c>
      <c r="L260" s="106">
        <f>71847.32+167644.47+5241.57+4958.02</f>
        <v>249691.38</v>
      </c>
      <c r="M260" s="105">
        <f t="shared" si="31"/>
        <v>308.61999999999534</v>
      </c>
    </row>
    <row r="261" spans="1:52" s="137" customFormat="1" ht="31.5" x14ac:dyDescent="0.25">
      <c r="A261" s="332"/>
      <c r="B261" s="333"/>
      <c r="C261" s="297"/>
      <c r="D261" s="304"/>
      <c r="E261" s="15" t="s">
        <v>220</v>
      </c>
      <c r="F261" s="30">
        <v>2021</v>
      </c>
      <c r="G261" s="85">
        <v>419000</v>
      </c>
      <c r="H261" s="136">
        <v>0</v>
      </c>
      <c r="I261" s="85">
        <v>419000</v>
      </c>
      <c r="J261" s="30"/>
      <c r="K261" s="138">
        <v>2124</v>
      </c>
      <c r="L261" s="106">
        <f>5700+123510.24+289789.76</f>
        <v>419000</v>
      </c>
      <c r="M261" s="105">
        <f t="shared" si="31"/>
        <v>0</v>
      </c>
    </row>
    <row r="262" spans="1:52" s="137" customFormat="1" ht="31.5" x14ac:dyDescent="0.25">
      <c r="A262" s="332"/>
      <c r="B262" s="333"/>
      <c r="C262" s="297"/>
      <c r="D262" s="304"/>
      <c r="E262" s="15" t="s">
        <v>221</v>
      </c>
      <c r="F262" s="30">
        <v>2021</v>
      </c>
      <c r="G262" s="85">
        <v>342000</v>
      </c>
      <c r="H262" s="136">
        <v>0</v>
      </c>
      <c r="I262" s="85">
        <v>342000</v>
      </c>
      <c r="J262" s="30"/>
      <c r="K262" s="138">
        <v>2125</v>
      </c>
      <c r="L262" s="106">
        <f>5400+100523.17+236076.83</f>
        <v>342000</v>
      </c>
      <c r="M262" s="105">
        <f t="shared" si="31"/>
        <v>0</v>
      </c>
    </row>
    <row r="263" spans="1:52" s="137" customFormat="1" ht="31.5" x14ac:dyDescent="0.25">
      <c r="A263" s="332"/>
      <c r="B263" s="333"/>
      <c r="C263" s="297"/>
      <c r="D263" s="304"/>
      <c r="E263" s="15" t="s">
        <v>222</v>
      </c>
      <c r="F263" s="223">
        <v>2021</v>
      </c>
      <c r="G263" s="85">
        <f>I263</f>
        <v>550040</v>
      </c>
      <c r="H263" s="136">
        <v>0</v>
      </c>
      <c r="I263" s="85">
        <f>260000+290040</f>
        <v>550040</v>
      </c>
      <c r="J263" s="223"/>
      <c r="K263" s="138">
        <v>2126</v>
      </c>
      <c r="L263" s="63">
        <f>77995.76+181990.72+255353.99</f>
        <v>515340.47</v>
      </c>
      <c r="M263" s="105">
        <f t="shared" si="31"/>
        <v>34699.530000000028</v>
      </c>
    </row>
    <row r="264" spans="1:52" s="137" customFormat="1" ht="31.5" x14ac:dyDescent="0.25">
      <c r="A264" s="332"/>
      <c r="B264" s="333"/>
      <c r="C264" s="297"/>
      <c r="D264" s="304"/>
      <c r="E264" s="15" t="s">
        <v>223</v>
      </c>
      <c r="F264" s="30">
        <v>2021</v>
      </c>
      <c r="G264" s="85">
        <v>840000</v>
      </c>
      <c r="H264" s="136">
        <v>0</v>
      </c>
      <c r="I264" s="85">
        <v>840000</v>
      </c>
      <c r="J264" s="187"/>
      <c r="K264" s="138">
        <v>2127</v>
      </c>
      <c r="L264" s="63">
        <f>251731.81+587375.21</f>
        <v>839107.02</v>
      </c>
      <c r="M264" s="105">
        <f t="shared" si="31"/>
        <v>892.97999999998137</v>
      </c>
    </row>
    <row r="265" spans="1:52" s="137" customFormat="1" ht="18.75" x14ac:dyDescent="0.25">
      <c r="A265" s="290"/>
      <c r="B265" s="292"/>
      <c r="C265" s="294"/>
      <c r="D265" s="296"/>
      <c r="E265" s="15" t="s">
        <v>89</v>
      </c>
      <c r="F265" s="30">
        <v>2021</v>
      </c>
      <c r="G265" s="85">
        <v>0</v>
      </c>
      <c r="H265" s="136">
        <v>0</v>
      </c>
      <c r="I265" s="85">
        <v>683265</v>
      </c>
      <c r="J265" s="30"/>
      <c r="K265" s="138">
        <v>2160</v>
      </c>
      <c r="L265" s="191">
        <f>33330+16665+99990+49998+99987+66660+133320+116655+66660</f>
        <v>683265</v>
      </c>
      <c r="M265" s="105">
        <f t="shared" si="31"/>
        <v>0</v>
      </c>
      <c r="N265" s="137">
        <f>116655-83325</f>
        <v>33330</v>
      </c>
    </row>
    <row r="266" spans="1:52" s="14" customFormat="1" ht="63" x14ac:dyDescent="0.25">
      <c r="A266" s="276" t="s">
        <v>254</v>
      </c>
      <c r="B266" s="275">
        <v>1182</v>
      </c>
      <c r="C266" s="276" t="s">
        <v>52</v>
      </c>
      <c r="D266" s="270" t="s">
        <v>255</v>
      </c>
      <c r="E266" s="15" t="s">
        <v>89</v>
      </c>
      <c r="F266" s="279">
        <v>2021</v>
      </c>
      <c r="G266" s="31">
        <v>0</v>
      </c>
      <c r="H266" s="91">
        <v>0</v>
      </c>
      <c r="I266" s="31">
        <f>546962-865.76</f>
        <v>546096.24</v>
      </c>
      <c r="J266" s="32"/>
      <c r="K266" s="73">
        <v>2153</v>
      </c>
      <c r="L266" s="63">
        <f>182312.28+6300+62698+262234.96+12750+300+19798-297</f>
        <v>546096.24</v>
      </c>
      <c r="M266" s="56">
        <f t="shared" si="31"/>
        <v>0</v>
      </c>
    </row>
    <row r="267" spans="1:52" ht="31.5" x14ac:dyDescent="0.25">
      <c r="A267" s="79" t="s">
        <v>170</v>
      </c>
      <c r="B267" s="34"/>
      <c r="C267" s="34"/>
      <c r="D267" s="35" t="s">
        <v>142</v>
      </c>
      <c r="E267" s="36"/>
      <c r="F267" s="43" t="s">
        <v>7</v>
      </c>
      <c r="G267" s="82" t="s">
        <v>7</v>
      </c>
      <c r="H267" s="82" t="s">
        <v>7</v>
      </c>
      <c r="I267" s="82">
        <f>I268+I269+I271+I272+I273</f>
        <v>11183792.84</v>
      </c>
      <c r="J267" s="88" t="s">
        <v>7</v>
      </c>
      <c r="K267" s="101"/>
      <c r="L267" s="186"/>
      <c r="M267" s="99">
        <f t="shared" si="31"/>
        <v>11183792.84</v>
      </c>
    </row>
    <row r="268" spans="1:52" s="14" customFormat="1" ht="47.25" x14ac:dyDescent="0.25">
      <c r="A268" s="74" t="s">
        <v>143</v>
      </c>
      <c r="B268" s="44">
        <v>7323</v>
      </c>
      <c r="C268" s="128" t="s">
        <v>24</v>
      </c>
      <c r="D268" s="75" t="s">
        <v>144</v>
      </c>
      <c r="E268" s="33" t="s">
        <v>157</v>
      </c>
      <c r="F268" s="30">
        <v>2021</v>
      </c>
      <c r="G268" s="85">
        <f>I268</f>
        <v>49950</v>
      </c>
      <c r="H268" s="91">
        <v>0</v>
      </c>
      <c r="I268" s="85">
        <v>49950</v>
      </c>
      <c r="J268" s="32"/>
      <c r="K268" s="57">
        <v>2107</v>
      </c>
      <c r="L268" s="106">
        <v>49950</v>
      </c>
      <c r="M268" s="56">
        <f t="shared" si="31"/>
        <v>0</v>
      </c>
    </row>
    <row r="269" spans="1:52" s="137" customFormat="1" ht="45" customHeight="1" x14ac:dyDescent="0.25">
      <c r="A269" s="225" t="s">
        <v>354</v>
      </c>
      <c r="B269" s="44" t="s">
        <v>66</v>
      </c>
      <c r="C269" s="231" t="s">
        <v>16</v>
      </c>
      <c r="D269" s="230" t="s">
        <v>68</v>
      </c>
      <c r="E269" s="33" t="s">
        <v>89</v>
      </c>
      <c r="F269" s="224">
        <v>2021</v>
      </c>
      <c r="G269" s="85">
        <v>0</v>
      </c>
      <c r="H269" s="136">
        <v>0</v>
      </c>
      <c r="I269" s="85">
        <v>12500</v>
      </c>
      <c r="J269" s="224"/>
      <c r="K269" s="58">
        <v>2219</v>
      </c>
      <c r="L269" s="106">
        <v>12500</v>
      </c>
      <c r="M269" s="105">
        <f>I269-L269</f>
        <v>0</v>
      </c>
      <c r="N269" s="6"/>
      <c r="O269" s="6"/>
      <c r="P269" s="6"/>
      <c r="Q269" s="6"/>
      <c r="R269" s="6"/>
      <c r="S269" s="6"/>
      <c r="T269" s="6"/>
      <c r="U269" s="6"/>
      <c r="V269" s="6"/>
      <c r="W269" s="6"/>
      <c r="X269" s="6"/>
      <c r="Y269" s="6"/>
      <c r="Z269" s="6"/>
      <c r="AA269" s="6"/>
      <c r="AB269" s="6"/>
      <c r="AC269" s="6"/>
      <c r="AD269" s="6"/>
      <c r="AE269" s="6"/>
      <c r="AF269" s="6"/>
      <c r="AG269" s="6"/>
      <c r="AH269" s="6"/>
      <c r="AI269" s="6"/>
      <c r="AJ269" s="6"/>
      <c r="AK269" s="6"/>
      <c r="AL269" s="6"/>
      <c r="AM269" s="6"/>
      <c r="AN269" s="6"/>
      <c r="AO269" s="6"/>
      <c r="AP269" s="6"/>
      <c r="AQ269" s="6"/>
      <c r="AR269" s="6"/>
      <c r="AS269" s="6"/>
      <c r="AT269" s="6"/>
      <c r="AU269" s="6"/>
      <c r="AV269" s="6"/>
      <c r="AW269" s="6"/>
      <c r="AX269" s="6"/>
      <c r="AY269" s="6"/>
      <c r="AZ269" s="6"/>
    </row>
    <row r="270" spans="1:52" s="14" customFormat="1" ht="18.75" customHeight="1" x14ac:dyDescent="0.25">
      <c r="A270" s="323" t="s">
        <v>140</v>
      </c>
      <c r="B270" s="324"/>
      <c r="C270" s="324"/>
      <c r="D270" s="324"/>
      <c r="E270" s="324"/>
      <c r="F270" s="324"/>
      <c r="G270" s="324"/>
      <c r="H270" s="324"/>
      <c r="I270" s="324"/>
      <c r="J270" s="325"/>
      <c r="K270" s="114"/>
      <c r="L270" s="159"/>
      <c r="M270" s="116"/>
      <c r="N270" s="6"/>
      <c r="O270" s="6"/>
      <c r="P270" s="6"/>
      <c r="Q270" s="6"/>
      <c r="R270" s="6"/>
      <c r="S270" s="6"/>
      <c r="T270" s="6"/>
      <c r="U270" s="6"/>
      <c r="V270" s="6"/>
      <c r="W270" s="6"/>
      <c r="X270" s="6"/>
      <c r="Y270" s="6"/>
      <c r="Z270" s="6"/>
      <c r="AA270" s="6"/>
      <c r="AB270" s="6"/>
      <c r="AC270" s="6"/>
      <c r="AD270" s="6"/>
      <c r="AE270" s="6"/>
      <c r="AF270" s="6"/>
      <c r="AG270" s="6"/>
      <c r="AH270" s="6"/>
      <c r="AI270" s="6"/>
      <c r="AJ270" s="6"/>
      <c r="AK270" s="6"/>
      <c r="AL270" s="6"/>
      <c r="AM270" s="6"/>
      <c r="AN270" s="6"/>
      <c r="AO270" s="6"/>
      <c r="AP270" s="6"/>
      <c r="AQ270" s="6"/>
      <c r="AR270" s="6"/>
      <c r="AS270" s="6"/>
      <c r="AT270" s="6"/>
      <c r="AU270" s="6"/>
      <c r="AV270" s="6"/>
      <c r="AW270" s="6"/>
      <c r="AX270" s="6"/>
      <c r="AY270" s="6"/>
      <c r="AZ270" s="6"/>
    </row>
    <row r="271" spans="1:52" s="137" customFormat="1" ht="47.25" x14ac:dyDescent="0.2">
      <c r="A271" s="130" t="s">
        <v>213</v>
      </c>
      <c r="B271" s="44">
        <v>7363</v>
      </c>
      <c r="C271" s="133" t="s">
        <v>5</v>
      </c>
      <c r="D271" s="129" t="s">
        <v>55</v>
      </c>
      <c r="E271" s="15" t="s">
        <v>214</v>
      </c>
      <c r="F271" s="30">
        <v>2021</v>
      </c>
      <c r="G271" s="85">
        <v>9297776</v>
      </c>
      <c r="H271" s="136">
        <v>0</v>
      </c>
      <c r="I271" s="85">
        <v>8532000</v>
      </c>
      <c r="J271" s="30"/>
      <c r="K271" s="58">
        <v>2121</v>
      </c>
      <c r="L271" s="62">
        <f>2430904+35129.09+2219235.63+31998.58</f>
        <v>4717267.3</v>
      </c>
      <c r="M271" s="105">
        <f>I271-L271</f>
        <v>3814732.7</v>
      </c>
    </row>
    <row r="272" spans="1:52" s="137" customFormat="1" ht="84.75" customHeight="1" x14ac:dyDescent="0.2">
      <c r="A272" s="207" t="s">
        <v>324</v>
      </c>
      <c r="B272" s="44">
        <v>6083</v>
      </c>
      <c r="C272" s="204" t="s">
        <v>32</v>
      </c>
      <c r="D272" s="205" t="s">
        <v>322</v>
      </c>
      <c r="E272" s="15" t="s">
        <v>323</v>
      </c>
      <c r="F272" s="206">
        <v>2021</v>
      </c>
      <c r="G272" s="85">
        <v>629777.4</v>
      </c>
      <c r="H272" s="136">
        <v>0</v>
      </c>
      <c r="I272" s="85">
        <v>629777.4</v>
      </c>
      <c r="J272" s="206"/>
      <c r="K272" s="58">
        <v>2198</v>
      </c>
      <c r="L272" s="105">
        <v>314888.7</v>
      </c>
      <c r="M272" s="105">
        <f t="shared" ref="M272:M273" si="32">I272-L272</f>
        <v>314888.7</v>
      </c>
    </row>
    <row r="273" spans="1:52" s="137" customFormat="1" ht="295.5" customHeight="1" x14ac:dyDescent="0.2">
      <c r="A273" s="265" t="s">
        <v>364</v>
      </c>
      <c r="B273" s="44">
        <v>3222</v>
      </c>
      <c r="C273" s="263" t="s">
        <v>365</v>
      </c>
      <c r="D273" s="264" t="s">
        <v>366</v>
      </c>
      <c r="E273" s="15" t="s">
        <v>366</v>
      </c>
      <c r="F273" s="266">
        <v>2021</v>
      </c>
      <c r="G273" s="85">
        <f>I273</f>
        <v>1959565.44</v>
      </c>
      <c r="H273" s="136">
        <v>0</v>
      </c>
      <c r="I273" s="85">
        <v>1959565.44</v>
      </c>
      <c r="J273" s="266"/>
      <c r="K273" s="58">
        <v>2224</v>
      </c>
      <c r="L273" s="105">
        <v>1959565.44</v>
      </c>
      <c r="M273" s="105">
        <f t="shared" si="32"/>
        <v>0</v>
      </c>
    </row>
    <row r="274" spans="1:52" s="5" customFormat="1" ht="31.5" x14ac:dyDescent="0.25">
      <c r="A274" s="78">
        <v>1000000</v>
      </c>
      <c r="B274" s="34"/>
      <c r="C274" s="34"/>
      <c r="D274" s="35" t="s">
        <v>70</v>
      </c>
      <c r="E274" s="36"/>
      <c r="F274" s="43" t="s">
        <v>7</v>
      </c>
      <c r="G274" s="82" t="s">
        <v>7</v>
      </c>
      <c r="H274" s="82" t="s">
        <v>7</v>
      </c>
      <c r="I274" s="82">
        <f>SUM(I275:I278)</f>
        <v>369065</v>
      </c>
      <c r="J274" s="88" t="s">
        <v>7</v>
      </c>
      <c r="K274" s="111"/>
      <c r="L274" s="154"/>
      <c r="M274" s="113"/>
    </row>
    <row r="275" spans="1:52" s="14" customFormat="1" ht="31.5" x14ac:dyDescent="0.25">
      <c r="A275" s="293" t="s">
        <v>86</v>
      </c>
      <c r="B275" s="291">
        <v>4060</v>
      </c>
      <c r="C275" s="291" t="s">
        <v>88</v>
      </c>
      <c r="D275" s="295" t="s">
        <v>87</v>
      </c>
      <c r="E275" s="33" t="s">
        <v>90</v>
      </c>
      <c r="F275" s="30">
        <v>2021</v>
      </c>
      <c r="G275" s="85">
        <f>I275</f>
        <v>184750</v>
      </c>
      <c r="H275" s="91">
        <v>0</v>
      </c>
      <c r="I275" s="85">
        <v>184750</v>
      </c>
      <c r="J275" s="32"/>
      <c r="K275" s="57">
        <v>2054</v>
      </c>
      <c r="L275" s="105">
        <v>119499</v>
      </c>
      <c r="M275" s="56">
        <f t="shared" ref="M275:M281" si="33">I275-L275</f>
        <v>65251</v>
      </c>
    </row>
    <row r="276" spans="1:52" s="14" customFormat="1" ht="31.5" x14ac:dyDescent="0.25">
      <c r="A276" s="294"/>
      <c r="B276" s="292"/>
      <c r="C276" s="292"/>
      <c r="D276" s="296"/>
      <c r="E276" s="33" t="s">
        <v>154</v>
      </c>
      <c r="F276" s="30">
        <v>2021</v>
      </c>
      <c r="G276" s="85">
        <f>I276</f>
        <v>49356</v>
      </c>
      <c r="H276" s="91">
        <v>0</v>
      </c>
      <c r="I276" s="85">
        <v>49356</v>
      </c>
      <c r="J276" s="32"/>
      <c r="K276" s="73">
        <v>2111</v>
      </c>
      <c r="L276" s="105"/>
      <c r="M276" s="56">
        <f t="shared" si="33"/>
        <v>49356</v>
      </c>
    </row>
    <row r="277" spans="1:52" s="14" customFormat="1" ht="18.75" x14ac:dyDescent="0.25">
      <c r="A277" s="92" t="s">
        <v>200</v>
      </c>
      <c r="B277" s="93">
        <v>4030</v>
      </c>
      <c r="C277" s="93" t="s">
        <v>202</v>
      </c>
      <c r="D277" s="94" t="s">
        <v>201</v>
      </c>
      <c r="E277" s="33" t="s">
        <v>10</v>
      </c>
      <c r="F277" s="30">
        <v>2021</v>
      </c>
      <c r="G277" s="85">
        <v>0</v>
      </c>
      <c r="H277" s="91">
        <v>0</v>
      </c>
      <c r="I277" s="85">
        <v>79989</v>
      </c>
      <c r="J277" s="32"/>
      <c r="K277" s="73">
        <v>2119</v>
      </c>
      <c r="L277" s="105">
        <v>64999</v>
      </c>
      <c r="M277" s="56">
        <f t="shared" si="33"/>
        <v>14990</v>
      </c>
    </row>
    <row r="278" spans="1:52" s="137" customFormat="1" ht="35.25" customHeight="1" x14ac:dyDescent="0.25">
      <c r="A278" s="226" t="s">
        <v>67</v>
      </c>
      <c r="B278" s="229" t="s">
        <v>66</v>
      </c>
      <c r="C278" s="229" t="s">
        <v>16</v>
      </c>
      <c r="D278" s="228" t="s">
        <v>68</v>
      </c>
      <c r="E278" s="33" t="s">
        <v>10</v>
      </c>
      <c r="F278" s="224">
        <v>2021</v>
      </c>
      <c r="G278" s="85">
        <v>0</v>
      </c>
      <c r="H278" s="90">
        <v>0</v>
      </c>
      <c r="I278" s="85">
        <v>54970</v>
      </c>
      <c r="J278" s="224"/>
      <c r="K278" s="58">
        <v>2119</v>
      </c>
      <c r="L278" s="105">
        <v>0</v>
      </c>
      <c r="M278" s="105">
        <f>I278-L278</f>
        <v>54970</v>
      </c>
    </row>
    <row r="279" spans="1:52" ht="15.75" x14ac:dyDescent="0.25">
      <c r="A279" s="78">
        <v>1100000</v>
      </c>
      <c r="B279" s="34"/>
      <c r="C279" s="34"/>
      <c r="D279" s="35" t="s">
        <v>81</v>
      </c>
      <c r="E279" s="36"/>
      <c r="F279" s="43" t="s">
        <v>7</v>
      </c>
      <c r="G279" s="82" t="s">
        <v>7</v>
      </c>
      <c r="H279" s="82" t="s">
        <v>7</v>
      </c>
      <c r="I279" s="82">
        <f>SUM(I280:I281)</f>
        <v>76400</v>
      </c>
      <c r="J279" s="88" t="s">
        <v>7</v>
      </c>
      <c r="K279" s="69"/>
      <c r="L279" s="109"/>
      <c r="M279" s="56">
        <f t="shared" si="33"/>
        <v>76400</v>
      </c>
    </row>
    <row r="280" spans="1:52" s="14" customFormat="1" ht="31.5" x14ac:dyDescent="0.2">
      <c r="A280" s="74" t="s">
        <v>145</v>
      </c>
      <c r="B280" s="44" t="s">
        <v>66</v>
      </c>
      <c r="C280" s="222" t="s">
        <v>16</v>
      </c>
      <c r="D280" s="75" t="s">
        <v>68</v>
      </c>
      <c r="E280" s="15" t="s">
        <v>10</v>
      </c>
      <c r="F280" s="30">
        <v>2021</v>
      </c>
      <c r="G280" s="85">
        <v>0</v>
      </c>
      <c r="H280" s="91">
        <v>0</v>
      </c>
      <c r="I280" s="85">
        <v>18000</v>
      </c>
      <c r="J280" s="32"/>
      <c r="K280" s="57">
        <v>2108</v>
      </c>
      <c r="L280" s="105">
        <v>18000</v>
      </c>
      <c r="M280" s="56">
        <f t="shared" si="33"/>
        <v>0</v>
      </c>
      <c r="N280" s="14" t="s">
        <v>250</v>
      </c>
    </row>
    <row r="281" spans="1:52" s="14" customFormat="1" ht="18.75" x14ac:dyDescent="0.2">
      <c r="A281" s="123" t="s">
        <v>82</v>
      </c>
      <c r="B281" s="124">
        <v>5041</v>
      </c>
      <c r="C281" s="52" t="s">
        <v>84</v>
      </c>
      <c r="D281" s="53" t="s">
        <v>83</v>
      </c>
      <c r="E281" s="15" t="s">
        <v>10</v>
      </c>
      <c r="F281" s="30">
        <v>2021</v>
      </c>
      <c r="G281" s="31">
        <v>0</v>
      </c>
      <c r="H281" s="91">
        <v>0</v>
      </c>
      <c r="I281" s="31">
        <f>18000+40400</f>
        <v>58400</v>
      </c>
      <c r="J281" s="32"/>
      <c r="K281" s="57">
        <v>2109</v>
      </c>
      <c r="L281" s="105">
        <f>18000+40400</f>
        <v>58400</v>
      </c>
      <c r="M281" s="56">
        <f t="shared" si="33"/>
        <v>0</v>
      </c>
      <c r="N281" s="14" t="s">
        <v>250</v>
      </c>
    </row>
    <row r="282" spans="1:52" s="5" customFormat="1" ht="18.75" x14ac:dyDescent="0.25">
      <c r="A282" s="78">
        <v>3700000</v>
      </c>
      <c r="B282" s="45"/>
      <c r="C282" s="34"/>
      <c r="D282" s="35" t="s">
        <v>85</v>
      </c>
      <c r="E282" s="36"/>
      <c r="F282" s="43" t="s">
        <v>7</v>
      </c>
      <c r="G282" s="82" t="s">
        <v>7</v>
      </c>
      <c r="H282" s="82" t="s">
        <v>7</v>
      </c>
      <c r="I282" s="82">
        <f>I283</f>
        <v>121500</v>
      </c>
      <c r="J282" s="88" t="s">
        <v>7</v>
      </c>
      <c r="K282" s="111"/>
      <c r="L282" s="112"/>
      <c r="M282" s="113"/>
    </row>
    <row r="283" spans="1:52" s="137" customFormat="1" ht="45" customHeight="1" x14ac:dyDescent="0.25">
      <c r="A283" s="225" t="s">
        <v>355</v>
      </c>
      <c r="B283" s="44" t="s">
        <v>66</v>
      </c>
      <c r="C283" s="231" t="s">
        <v>16</v>
      </c>
      <c r="D283" s="230" t="s">
        <v>68</v>
      </c>
      <c r="E283" s="33" t="s">
        <v>89</v>
      </c>
      <c r="F283" s="224">
        <v>2021</v>
      </c>
      <c r="G283" s="85">
        <v>0</v>
      </c>
      <c r="H283" s="136">
        <v>0</v>
      </c>
      <c r="I283" s="85">
        <f>49000+50000+35000-12500</f>
        <v>121500</v>
      </c>
      <c r="J283" s="224"/>
      <c r="K283" s="58">
        <v>2053</v>
      </c>
      <c r="L283" s="106">
        <f>87498+11460+18800</f>
        <v>117758</v>
      </c>
      <c r="M283" s="105">
        <f>I283-L283</f>
        <v>3742</v>
      </c>
      <c r="N283" s="6"/>
      <c r="O283" s="6"/>
      <c r="P283" s="6"/>
      <c r="Q283" s="6"/>
      <c r="R283" s="6"/>
      <c r="S283" s="6"/>
      <c r="T283" s="6"/>
      <c r="U283" s="6"/>
      <c r="V283" s="6"/>
      <c r="W283" s="6"/>
      <c r="X283" s="6"/>
      <c r="Y283" s="6"/>
      <c r="Z283" s="6"/>
      <c r="AA283" s="6"/>
      <c r="AB283" s="6"/>
      <c r="AC283" s="6"/>
      <c r="AD283" s="6"/>
      <c r="AE283" s="6"/>
      <c r="AF283" s="6"/>
      <c r="AG283" s="6"/>
      <c r="AH283" s="6"/>
      <c r="AI283" s="6"/>
      <c r="AJ283" s="6"/>
      <c r="AK283" s="6"/>
      <c r="AL283" s="6"/>
      <c r="AM283" s="6"/>
      <c r="AN283" s="6"/>
      <c r="AO283" s="6"/>
      <c r="AP283" s="6"/>
      <c r="AQ283" s="6"/>
      <c r="AR283" s="6"/>
      <c r="AS283" s="6"/>
      <c r="AT283" s="6"/>
      <c r="AU283" s="6"/>
      <c r="AV283" s="6"/>
      <c r="AW283" s="6"/>
      <c r="AX283" s="6"/>
      <c r="AY283" s="6"/>
      <c r="AZ283" s="6"/>
    </row>
    <row r="284" spans="1:52" ht="20.25" x14ac:dyDescent="0.3">
      <c r="A284" s="3" t="s">
        <v>2</v>
      </c>
      <c r="B284" s="3" t="s">
        <v>2</v>
      </c>
      <c r="C284" s="3" t="s">
        <v>2</v>
      </c>
      <c r="D284" s="47" t="s">
        <v>21</v>
      </c>
      <c r="E284" s="3" t="s">
        <v>2</v>
      </c>
      <c r="F284" s="3" t="s">
        <v>2</v>
      </c>
      <c r="G284" s="3" t="s">
        <v>2</v>
      </c>
      <c r="H284" s="3" t="s">
        <v>2</v>
      </c>
      <c r="I284" s="86">
        <f>I111+I7</f>
        <v>520244939.79000002</v>
      </c>
      <c r="J284" s="3" t="s">
        <v>2</v>
      </c>
      <c r="K284" s="69"/>
      <c r="L284" s="70"/>
      <c r="M284" s="69"/>
    </row>
    <row r="285" spans="1:52" x14ac:dyDescent="0.2">
      <c r="B285" s="21"/>
      <c r="C285" s="21"/>
      <c r="D285" s="21"/>
      <c r="E285" s="21"/>
      <c r="F285" s="21"/>
      <c r="G285" s="21"/>
      <c r="H285" s="21"/>
      <c r="I285" s="22"/>
      <c r="J285" s="21"/>
      <c r="M285" s="135"/>
    </row>
    <row r="286" spans="1:52" s="374" customFormat="1" ht="18.75" x14ac:dyDescent="0.3">
      <c r="B286" s="375"/>
      <c r="C286" s="376" t="s">
        <v>72</v>
      </c>
      <c r="D286" s="376"/>
      <c r="E286" s="376"/>
      <c r="F286" s="376"/>
      <c r="G286" s="376"/>
      <c r="H286" s="377"/>
      <c r="I286" s="378"/>
      <c r="J286" s="375"/>
    </row>
    <row r="287" spans="1:52" x14ac:dyDescent="0.2">
      <c r="B287" s="21"/>
      <c r="C287" s="21"/>
      <c r="D287" s="21"/>
      <c r="E287" s="21"/>
      <c r="F287" s="21"/>
      <c r="G287" s="21"/>
      <c r="H287" s="21"/>
      <c r="I287" s="22"/>
      <c r="J287" s="21"/>
    </row>
    <row r="288" spans="1:52" x14ac:dyDescent="0.2">
      <c r="B288" s="21"/>
      <c r="C288" s="21"/>
      <c r="D288" s="21"/>
      <c r="E288" s="21"/>
      <c r="F288" s="21"/>
      <c r="G288" s="24"/>
      <c r="H288" s="24"/>
      <c r="I288" s="23"/>
      <c r="J288" s="21"/>
    </row>
    <row r="289" spans="2:10" ht="20.25" x14ac:dyDescent="0.3">
      <c r="B289" s="21"/>
      <c r="C289" s="21"/>
      <c r="D289" s="21"/>
      <c r="E289" s="25"/>
      <c r="F289" s="26"/>
      <c r="G289" s="27"/>
      <c r="H289" s="27"/>
      <c r="I289" s="28"/>
      <c r="J289" s="26"/>
    </row>
    <row r="290" spans="2:10" x14ac:dyDescent="0.2">
      <c r="E290" s="14"/>
      <c r="F290" s="14"/>
      <c r="G290" s="14"/>
      <c r="H290" s="14"/>
      <c r="I290" s="19"/>
      <c r="J290" s="14"/>
    </row>
    <row r="291" spans="2:10" x14ac:dyDescent="0.2">
      <c r="E291" s="14"/>
      <c r="F291" s="14"/>
      <c r="G291" s="20"/>
      <c r="H291" s="20"/>
      <c r="I291" s="19"/>
      <c r="J291" s="14"/>
    </row>
    <row r="292" spans="2:10" ht="18.75" x14ac:dyDescent="0.3">
      <c r="C292" s="322"/>
      <c r="D292" s="322"/>
      <c r="E292" s="322"/>
      <c r="F292" s="322"/>
      <c r="G292" s="322"/>
      <c r="H292" s="76"/>
      <c r="I292" s="19"/>
      <c r="J292" s="14"/>
    </row>
  </sheetData>
  <autoFilter ref="A8:AZ286"/>
  <mergeCells count="141">
    <mergeCell ref="B54:B60"/>
    <mergeCell ref="C54:C60"/>
    <mergeCell ref="A47:A49"/>
    <mergeCell ref="A50:A52"/>
    <mergeCell ref="B50:B52"/>
    <mergeCell ref="C50:C52"/>
    <mergeCell ref="D50:D52"/>
    <mergeCell ref="B47:B49"/>
    <mergeCell ref="C47:C49"/>
    <mergeCell ref="D47:D49"/>
    <mergeCell ref="K109:M109"/>
    <mergeCell ref="C95:C98"/>
    <mergeCell ref="D95:D98"/>
    <mergeCell ref="A64:C64"/>
    <mergeCell ref="A66:C66"/>
    <mergeCell ref="A104:A105"/>
    <mergeCell ref="B104:B105"/>
    <mergeCell ref="C104:C105"/>
    <mergeCell ref="D104:D105"/>
    <mergeCell ref="D70:D93"/>
    <mergeCell ref="A94:J94"/>
    <mergeCell ref="A95:A98"/>
    <mergeCell ref="B95:B98"/>
    <mergeCell ref="A70:A93"/>
    <mergeCell ref="B70:B93"/>
    <mergeCell ref="C70:C93"/>
    <mergeCell ref="K210:M210"/>
    <mergeCell ref="A132:C132"/>
    <mergeCell ref="C120:C121"/>
    <mergeCell ref="B120:B121"/>
    <mergeCell ref="D120:D121"/>
    <mergeCell ref="F120:F121"/>
    <mergeCell ref="G120:G121"/>
    <mergeCell ref="H120:H121"/>
    <mergeCell ref="E120:E121"/>
    <mergeCell ref="A120:A121"/>
    <mergeCell ref="D143:D144"/>
    <mergeCell ref="A140:C140"/>
    <mergeCell ref="A142:C142"/>
    <mergeCell ref="C143:C144"/>
    <mergeCell ref="A133:A136"/>
    <mergeCell ref="D176:D177"/>
    <mergeCell ref="A201:A205"/>
    <mergeCell ref="B201:B205"/>
    <mergeCell ref="C201:C205"/>
    <mergeCell ref="D201:D205"/>
    <mergeCell ref="D133:D136"/>
    <mergeCell ref="A143:A144"/>
    <mergeCell ref="D138:J138"/>
    <mergeCell ref="C133:C136"/>
    <mergeCell ref="G1:J1"/>
    <mergeCell ref="A4:J4"/>
    <mergeCell ref="A3:J3"/>
    <mergeCell ref="D34:D35"/>
    <mergeCell ref="A7:E7"/>
    <mergeCell ref="A36:C36"/>
    <mergeCell ref="A34:A35"/>
    <mergeCell ref="B34:B35"/>
    <mergeCell ref="C34:C35"/>
    <mergeCell ref="A33:C33"/>
    <mergeCell ref="G2:J2"/>
    <mergeCell ref="A23:A29"/>
    <mergeCell ref="A20:A21"/>
    <mergeCell ref="B20:B21"/>
    <mergeCell ref="C20:C21"/>
    <mergeCell ref="D20:D21"/>
    <mergeCell ref="C23:C29"/>
    <mergeCell ref="D23:D29"/>
    <mergeCell ref="B23:B29"/>
    <mergeCell ref="A13:A18"/>
    <mergeCell ref="B13:B18"/>
    <mergeCell ref="C13:C18"/>
    <mergeCell ref="D13:D18"/>
    <mergeCell ref="D31:J31"/>
    <mergeCell ref="A178:A200"/>
    <mergeCell ref="B178:B200"/>
    <mergeCell ref="C178:C200"/>
    <mergeCell ref="D178:D200"/>
    <mergeCell ref="D206:J206"/>
    <mergeCell ref="A207:A208"/>
    <mergeCell ref="B207:B208"/>
    <mergeCell ref="C207:C208"/>
    <mergeCell ref="D207:D208"/>
    <mergeCell ref="A255:A256"/>
    <mergeCell ref="D220:J220"/>
    <mergeCell ref="A226:A251"/>
    <mergeCell ref="B226:B251"/>
    <mergeCell ref="C226:C251"/>
    <mergeCell ref="D226:D251"/>
    <mergeCell ref="A211:A219"/>
    <mergeCell ref="B211:B219"/>
    <mergeCell ref="C211:C219"/>
    <mergeCell ref="D211:D219"/>
    <mergeCell ref="A61:C61"/>
    <mergeCell ref="A53:C53"/>
    <mergeCell ref="D54:D60"/>
    <mergeCell ref="A54:A60"/>
    <mergeCell ref="C292:G292"/>
    <mergeCell ref="C286:G286"/>
    <mergeCell ref="A252:J252"/>
    <mergeCell ref="A176:A177"/>
    <mergeCell ref="B176:B177"/>
    <mergeCell ref="C176:C177"/>
    <mergeCell ref="A222:C222"/>
    <mergeCell ref="A210:C210"/>
    <mergeCell ref="A275:A276"/>
    <mergeCell ref="B275:B276"/>
    <mergeCell ref="C275:C276"/>
    <mergeCell ref="D275:D276"/>
    <mergeCell ref="A270:J270"/>
    <mergeCell ref="A259:A265"/>
    <mergeCell ref="B259:B265"/>
    <mergeCell ref="C259:C265"/>
    <mergeCell ref="D259:D265"/>
    <mergeCell ref="B255:B256"/>
    <mergeCell ref="C255:C256"/>
    <mergeCell ref="D255:D256"/>
    <mergeCell ref="A257:A258"/>
    <mergeCell ref="B257:B258"/>
    <mergeCell ref="C257:C258"/>
    <mergeCell ref="D257:D258"/>
    <mergeCell ref="A37:A46"/>
    <mergeCell ref="B37:B46"/>
    <mergeCell ref="C37:C46"/>
    <mergeCell ref="D37:D46"/>
    <mergeCell ref="A147:A175"/>
    <mergeCell ref="B147:B175"/>
    <mergeCell ref="C147:C175"/>
    <mergeCell ref="D147:D175"/>
    <mergeCell ref="A111:E111"/>
    <mergeCell ref="A115:A118"/>
    <mergeCell ref="D115:D118"/>
    <mergeCell ref="D127:J127"/>
    <mergeCell ref="B133:B136"/>
    <mergeCell ref="B143:B144"/>
    <mergeCell ref="B115:B118"/>
    <mergeCell ref="C115:C118"/>
    <mergeCell ref="A129:A131"/>
    <mergeCell ref="B129:B131"/>
    <mergeCell ref="C129:C131"/>
    <mergeCell ref="D129:D131"/>
  </mergeCells>
  <phoneticPr fontId="8" type="noConversion"/>
  <pageMargins left="0" right="0" top="0" bottom="0" header="0.31496062992125984" footer="0"/>
  <pageSetup paperSize="9" scale="50" orientation="landscape" verticalDpi="0" r:id="rId1"/>
  <rowBreaks count="7" manualBreakCount="7">
    <brk id="27" max="9" man="1"/>
    <brk id="60" max="9" man="1"/>
    <brk id="86" max="9" man="1"/>
    <brk id="110" max="9" man="1"/>
    <brk id="134" max="9" man="1"/>
    <brk id="157" max="9" man="1"/>
    <brk id="185" max="9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Аркуші</vt:lpstr>
      </vt:variant>
      <vt:variant>
        <vt:i4>1</vt:i4>
      </vt:variant>
      <vt:variant>
        <vt:lpstr>Іменовані діапазони</vt:lpstr>
      </vt:variant>
      <vt:variant>
        <vt:i4>1</vt:i4>
      </vt:variant>
    </vt:vector>
  </HeadingPairs>
  <TitlesOfParts>
    <vt:vector size="2" baseType="lpstr">
      <vt:lpstr>Лист1</vt:lpstr>
      <vt:lpstr>Лист1!Область_друку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Користувач Windows</dc:creator>
  <cp:lastModifiedBy>User</cp:lastModifiedBy>
  <cp:lastPrinted>2021-12-30T07:22:11Z</cp:lastPrinted>
  <dcterms:created xsi:type="dcterms:W3CDTF">2019-11-12T13:23:27Z</dcterms:created>
  <dcterms:modified xsi:type="dcterms:W3CDTF">2021-12-30T07:22:34Z</dcterms:modified>
</cp:coreProperties>
</file>